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bookViews>
    <workbookView xWindow="0" yWindow="30" windowWidth="19200" windowHeight="6435" tabRatio="789" activeTab="6"/>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V6" i="5"/>
  <c r="V7" i="5"/>
  <c r="B8" i="5"/>
  <c r="C8" i="5"/>
  <c r="V8" i="5" s="1"/>
  <c r="B9" i="5"/>
  <c r="C9" i="5"/>
  <c r="V9" i="5" s="1"/>
  <c r="B10" i="5"/>
  <c r="C10" i="5"/>
  <c r="B11" i="5"/>
  <c r="C11" i="5"/>
  <c r="V11" i="5" s="1"/>
  <c r="B12" i="5"/>
  <c r="C12" i="5"/>
  <c r="V12" i="5" s="1"/>
  <c r="F12" i="5" s="1"/>
  <c r="B13" i="5"/>
  <c r="C13" i="5"/>
  <c r="V13" i="5" s="1"/>
  <c r="B14" i="5"/>
  <c r="C14" i="5"/>
  <c r="B15" i="5"/>
  <c r="C15" i="5"/>
  <c r="V15" i="5" s="1"/>
  <c r="B16" i="5"/>
  <c r="C16" i="5"/>
  <c r="V16" i="5" s="1"/>
  <c r="B17" i="5"/>
  <c r="C17" i="5"/>
  <c r="V17" i="5" s="1"/>
  <c r="B18" i="5"/>
  <c r="C18" i="5"/>
  <c r="B19" i="5"/>
  <c r="C19" i="5"/>
  <c r="V19" i="5" s="1"/>
  <c r="B20" i="5"/>
  <c r="C20" i="5"/>
  <c r="V20" i="5" s="1"/>
  <c r="B21" i="5"/>
  <c r="C21" i="5"/>
  <c r="V21" i="5" s="1"/>
  <c r="B22" i="5"/>
  <c r="C22" i="5"/>
  <c r="V22" i="5" s="1"/>
  <c r="B23" i="5"/>
  <c r="C23" i="5"/>
  <c r="V23" i="5" s="1"/>
  <c r="B24" i="5"/>
  <c r="C24" i="5"/>
  <c r="B25" i="5"/>
  <c r="C25" i="5"/>
  <c r="V25" i="5" s="1"/>
  <c r="B26" i="5"/>
  <c r="C26" i="5"/>
  <c r="V26" i="5" s="1"/>
  <c r="B27" i="5"/>
  <c r="C27" i="5"/>
  <c r="V27" i="5" s="1"/>
  <c r="B28" i="5"/>
  <c r="C28" i="5"/>
  <c r="V28" i="5" s="1"/>
  <c r="B29" i="5"/>
  <c r="C29" i="5"/>
  <c r="V29" i="5" s="1"/>
  <c r="B30" i="5"/>
  <c r="C30" i="5"/>
  <c r="B31" i="5"/>
  <c r="C31" i="5"/>
  <c r="V31" i="5" s="1"/>
  <c r="B32" i="5"/>
  <c r="C32" i="5"/>
  <c r="B33" i="5"/>
  <c r="C33" i="5"/>
  <c r="V33" i="5" s="1"/>
  <c r="B34" i="5"/>
  <c r="C34" i="5"/>
  <c r="B35" i="5"/>
  <c r="C35" i="5"/>
  <c r="V35" i="5" s="1"/>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B48" i="5"/>
  <c r="C48" i="5"/>
  <c r="V48" i="5" s="1"/>
  <c r="B49" i="5"/>
  <c r="C49" i="5"/>
  <c r="V49" i="5" s="1"/>
  <c r="B50" i="5"/>
  <c r="C50" i="5"/>
  <c r="B51" i="5"/>
  <c r="C51" i="5"/>
  <c r="V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R11" i="5"/>
  <c r="G13" i="5"/>
  <c r="R15" i="5"/>
  <c r="F23" i="5"/>
  <c r="F25" i="5"/>
  <c r="H29" i="5"/>
  <c r="E31" i="5"/>
  <c r="X31" i="5" s="1"/>
  <c r="E33" i="5"/>
  <c r="X33" i="5" s="1"/>
  <c r="F35" i="5"/>
  <c r="I37" i="5"/>
  <c r="R39" i="5"/>
  <c r="I43" i="5"/>
  <c r="E45" i="5"/>
  <c r="X45" i="5" s="1"/>
  <c r="I47" i="5"/>
  <c r="G49" i="5"/>
  <c r="I51" i="5"/>
  <c r="J53" i="5"/>
  <c r="G55"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G173" i="5"/>
  <c r="E177" i="5"/>
  <c r="X177" i="5" s="1"/>
  <c r="E181" i="5"/>
  <c r="X181" i="5" s="1"/>
  <c r="H189" i="5"/>
  <c r="F193" i="5"/>
  <c r="F237" i="5"/>
  <c r="R261" i="5"/>
  <c r="H277" i="5"/>
  <c r="F30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7" i="5"/>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c r="B56" i="6"/>
  <c r="G56" i="6" s="1"/>
  <c r="B55" i="6"/>
  <c r="G55" i="6" s="1"/>
  <c r="B54" i="6"/>
  <c r="G54" i="6" s="1"/>
  <c r="B53" i="6"/>
  <c r="G53" i="6"/>
  <c r="B50" i="6"/>
  <c r="G50" i="6" s="1"/>
  <c r="H14" i="6"/>
  <c r="H61" i="4"/>
  <c r="B86" i="4"/>
  <c r="F23" i="6"/>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J132" i="5"/>
  <c r="I116" i="5"/>
  <c r="I76" i="5"/>
  <c r="F68" i="5"/>
  <c r="E52" i="5"/>
  <c r="X52" i="5" s="1"/>
  <c r="H28" i="5"/>
  <c r="G20" i="5"/>
  <c r="AB12" i="5"/>
  <c r="I2050" i="5"/>
  <c r="E1204" i="5"/>
  <c r="X1204" i="5" s="1"/>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E79" i="5"/>
  <c r="X79" i="5" s="1"/>
  <c r="G237" i="5"/>
  <c r="R93" i="5"/>
  <c r="E23" i="5"/>
  <c r="X23" i="5" s="1"/>
  <c r="F117" i="5"/>
  <c r="B23" i="6" l="1"/>
  <c r="B43" i="6" s="1"/>
  <c r="B38" i="6"/>
  <c r="B21" i="6"/>
  <c r="B31" i="6" s="1"/>
  <c r="F21" i="6"/>
  <c r="B20" i="6"/>
  <c r="B35"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I10" i="5" s="1"/>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31" i="5"/>
  <c r="F87" i="5"/>
  <c r="F141" i="5"/>
  <c r="R205" i="5"/>
  <c r="I317" i="5"/>
  <c r="I493" i="5"/>
  <c r="I381" i="5"/>
  <c r="I133" i="5"/>
  <c r="I261" i="5"/>
  <c r="I397" i="5"/>
  <c r="H293" i="5"/>
  <c r="F824"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R7"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X5" i="5"/>
  <c r="R5" i="5"/>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H53" i="5"/>
  <c r="R703" i="5"/>
  <c r="E1007" i="5"/>
  <c r="X1007" i="5" s="1"/>
  <c r="I21" i="5"/>
  <c r="I61" i="5"/>
  <c r="J171" i="5"/>
  <c r="I403" i="5"/>
  <c r="J567" i="5"/>
  <c r="I651" i="5"/>
  <c r="F911" i="5"/>
  <c r="J931" i="5"/>
  <c r="E947" i="5"/>
  <c r="X947" i="5" s="1"/>
  <c r="J1075" i="5"/>
  <c r="G1243" i="5"/>
  <c r="E1315" i="5"/>
  <c r="X1315" i="5" s="1"/>
  <c r="H1367" i="5"/>
  <c r="H595"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I2292"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212"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X7" i="5"/>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29" i="5"/>
  <c r="J429" i="5"/>
  <c r="I417" i="5"/>
  <c r="F417" i="5"/>
  <c r="E417" i="5"/>
  <c r="X417" i="5" s="1"/>
  <c r="H47" i="5"/>
  <c r="E507" i="5"/>
  <c r="X507" i="5" s="1"/>
  <c r="G533" i="5"/>
  <c r="J261" i="5"/>
  <c r="I505" i="5"/>
  <c r="E229" i="5"/>
  <c r="X229" i="5" s="1"/>
  <c r="R349" i="5"/>
  <c r="F381" i="5"/>
  <c r="E555" i="5"/>
  <c r="X555" i="5" s="1"/>
  <c r="J523" i="5"/>
  <c r="R557" i="5"/>
  <c r="I497" i="5"/>
  <c r="I427" i="5"/>
  <c r="G221" i="5"/>
  <c r="E481" i="5"/>
  <c r="X481" i="5" s="1"/>
  <c r="R457" i="5"/>
  <c r="R293" i="5"/>
  <c r="E157" i="5"/>
  <c r="X157" i="5" s="1"/>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F63" i="5"/>
  <c r="H509" i="5"/>
  <c r="R213" i="5"/>
  <c r="F457" i="5"/>
  <c r="H437" i="5"/>
  <c r="I221" i="5"/>
  <c r="R181" i="5"/>
  <c r="G523" i="5"/>
  <c r="F197" i="5"/>
  <c r="E39" i="5"/>
  <c r="X39" i="5" s="1"/>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J144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H10" i="5"/>
  <c r="G10" i="5"/>
  <c r="F10" i="5"/>
  <c r="R10" i="5"/>
  <c r="E10" i="5"/>
  <c r="X10" i="5" s="1"/>
  <c r="J10" i="5"/>
  <c r="H8" i="5"/>
  <c r="R8" i="5"/>
  <c r="E8" i="5"/>
  <c r="X8" i="5" s="1"/>
  <c r="I8" i="5"/>
  <c r="F8" i="5"/>
  <c r="J8" i="5"/>
  <c r="G8" i="5"/>
  <c r="X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C12" i="6" s="1"/>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6" i="5"/>
  <c r="S5" i="5"/>
  <c r="T7" i="5"/>
  <c r="T6" i="5"/>
  <c r="S7" i="5"/>
  <c r="T5" i="5"/>
  <c r="G23" i="6" l="1"/>
  <c r="H23" i="6" s="1"/>
  <c r="D23" i="6" s="1"/>
  <c r="B28" i="6"/>
  <c r="B48" i="6"/>
  <c r="B33" i="6"/>
  <c r="C13" i="6"/>
  <c r="C9" i="6"/>
  <c r="C11" i="6"/>
  <c r="C10" i="6"/>
  <c r="C8" i="6"/>
  <c r="C7" i="6"/>
  <c r="C5" i="6"/>
  <c r="B45" i="6"/>
  <c r="G20" i="6"/>
  <c r="H20" i="6" s="1"/>
  <c r="B25" i="6"/>
  <c r="F25" i="6"/>
  <c r="B40" i="6"/>
  <c r="F26" i="6"/>
  <c r="F36" i="6" s="1"/>
  <c r="B30" i="6"/>
  <c r="F41" i="6"/>
  <c r="B41" i="6"/>
  <c r="F63" i="6"/>
  <c r="G21" i="6"/>
  <c r="H21" i="6" s="1"/>
  <c r="B26" i="6"/>
  <c r="B36" i="6"/>
  <c r="B46" i="6"/>
  <c r="G46" i="6" s="1"/>
  <c r="G31" i="6"/>
  <c r="H22" i="6"/>
  <c r="D22" i="6" s="1"/>
  <c r="G47" i="6"/>
  <c r="G42" i="6"/>
  <c r="G40" i="6"/>
  <c r="G26" i="6"/>
  <c r="K65" i="6"/>
  <c r="C65" i="6" s="1"/>
  <c r="G27" i="6"/>
  <c r="G32" i="6"/>
  <c r="G45" i="6"/>
  <c r="G43" i="6"/>
  <c r="G38" i="6"/>
  <c r="G35" i="6"/>
  <c r="G28" i="6"/>
  <c r="G33" i="6"/>
  <c r="G41" i="6"/>
  <c r="G37" i="6"/>
  <c r="G25" i="6"/>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36" i="6" l="1"/>
  <c r="C36" i="6" s="1"/>
  <c r="H41" i="6"/>
  <c r="H26" i="6"/>
  <c r="C26" i="6" s="1"/>
  <c r="H25" i="6"/>
  <c r="D20" i="6"/>
  <c r="K62" i="6"/>
  <c r="F45" i="6"/>
  <c r="H45" i="6" s="1"/>
  <c r="F62" i="6"/>
  <c r="B2" i="6" s="1"/>
  <c r="F40" i="6"/>
  <c r="F35" i="6"/>
  <c r="F30" i="6"/>
  <c r="H30" i="6" s="1"/>
  <c r="H35" i="6"/>
  <c r="D35" i="6" s="1"/>
  <c r="H40" i="6"/>
  <c r="D40" i="6" s="1"/>
  <c r="F46" i="6"/>
  <c r="H46" i="6" s="1"/>
  <c r="F31" i="6"/>
  <c r="H31" i="6" s="1"/>
  <c r="D31" i="6" s="1"/>
  <c r="C20" i="6"/>
  <c r="D21" i="6"/>
  <c r="C21" i="6"/>
  <c r="K63" i="6"/>
  <c r="H32" i="6"/>
  <c r="C32" i="6" s="1"/>
  <c r="C22" i="6"/>
  <c r="C35" i="6"/>
  <c r="C41" i="6"/>
  <c r="D41" i="6"/>
  <c r="F38" i="6"/>
  <c r="H38" i="6" s="1"/>
  <c r="F43" i="6"/>
  <c r="H43" i="6" s="1"/>
  <c r="H28" i="6"/>
  <c r="F65" i="6"/>
  <c r="F33" i="6"/>
  <c r="H33" i="6" s="1"/>
  <c r="F48" i="6"/>
  <c r="H48" i="6" s="1"/>
  <c r="D36" i="6"/>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D26" i="6" l="1"/>
  <c r="D32" i="6"/>
  <c r="D25" i="6"/>
  <c r="C25"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C63" i="6" l="1"/>
  <c r="H64" i="6"/>
  <c r="D64" i="6" s="1"/>
  <c r="C64" i="6"/>
  <c r="C62" i="6"/>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<sst xmlns="http://schemas.openxmlformats.org/spreadsheetml/2006/main" count="21665" uniqueCount="15441">
  <si>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</si>
  <si>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</si>
  <si>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</si>
  <si>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</si>
  <si>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</si>
  <si>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</si>
  <si>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</si>
  <si>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</si>
  <si>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</si>
  <si>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</si>
  <si>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</si>
  <si>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</si>
  <si>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</si>
  <si>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</si>
  <si>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</si>
  <si>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</si>
  <si>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</si>
  <si>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</si>
  <si>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</si>
  <si>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</si>
  <si>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</si>
  <si>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</si>
  <si>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</si>
  <si>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</si>
  <si>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</si>
  <si>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</si>
  <si>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</si>
  <si>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</si>
  <si>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</si>
  <si>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</si>
  <si>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</si>
  <si>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</si>
  <si>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</si>
  <si>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</si>
  <si>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</si>
  <si>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</si>
  <si>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</si>
  <si>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</si>
  <si>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</si>
  <si>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</si>
  <si>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</si>
  <si>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</si>
  <si>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</si>
  <si>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</si>
  <si>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</si>
  <si>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</si>
  <si>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</si>
  <si>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</si>
  <si>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</si>
  <si>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</si>
  <si>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</si>
  <si>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</si>
  <si>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</si>
  <si>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</si>
  <si>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</si>
  <si>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</si>
  <si>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</si>
  <si>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</si>
  <si>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</si>
  <si>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</si>
  <si>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</si>
  <si>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</si>
  <si>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</si>
  <si>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</si>
  <si>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</si>
  <si>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</si>
  <si>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</si>
  <si>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</si>
  <si>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</si>
  <si>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</si>
  <si>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</si>
  <si>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</si>
  <si>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</si>
  <si>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</si>
  <si>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</si>
  <si>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</si>
  <si>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</si>
  <si>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</si>
  <si>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</si>
  <si>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</si>
  <si>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</si>
  <si>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</si>
  <si>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</si>
  <si>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</si>
  <si>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</si>
  <si>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</si>
  <si>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</si>
  <si>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</si>
  <si>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</si>
  <si>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</si>
  <si>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</si>
  <si>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</si>
  <si>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</si>
  <si>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</si>
  <si>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</si>
  <si>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</si>
  <si>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</si>
  <si>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</si>
  <si>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</si>
  <si>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</si>
  <si>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</si>
  <si>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</si>
  <si>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</si>
  <si>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</si>
  <si>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</si>
  <si>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</si>
  <si>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</si>
  <si>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</si>
  <si>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</si>
  <si>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</si>
  <si>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</si>
  <si>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</si>
  <si>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</si>
  <si>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</si>
  <si>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</si>
  <si>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</si>
  <si>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</si>
  <si>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</si>
  <si>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</si>
  <si>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</si>
  <si>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</si>
  <si>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</si>
  <si>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</si>
  <si>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</si>
  <si>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</si>
  <si>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</si>
  <si>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</si>
  <si>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</si>
  <si>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</si>
  <si>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</si>
  <si>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</si>
  <si>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</si>
  <si>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</si>
  <si>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</si>
  <si>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</si>
  <si>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</si>
  <si>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</si>
  <si>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</si>
  <si>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</si>
  <si>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</si>
  <si>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</si>
  <si>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</si>
  <si>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</si>
  <si>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</si>
  <si>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</si>
  <si>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</si>
  <si>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</si>
  <si>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</si>
  <si>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</si>
  <si>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</si>
  <si>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</si>
  <si>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</si>
  <si>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</si>
  <si>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</si>
  <si>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</si>
  <si>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</si>
  <si>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</si>
  <si>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</si>
  <si>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</si>
  <si>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</si>
  <si>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</si>
  <si>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</si>
  <si>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</si>
  <si>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</si>
  <si>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</si>
  <si>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</si>
  <si>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</si>
  <si>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</si>
  <si>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</si>
  <si>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</si>
  <si>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</si>
  <si>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</si>
  <si>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</si>
  <si>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</si>
  <si>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</si>
  <si>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</si>
  <si>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</si>
  <si>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</si>
  <si>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</si>
  <si>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</si>
  <si>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</si>
  <si>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</si>
  <si>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</si>
  <si>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</si>
  <si>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</si>
  <si>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</si>
  <si>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</si>
  <si>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</si>
  <si>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</si>
  <si>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</si>
  <si>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</si>
  <si>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</si>
  <si>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</si>
  <si>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</si>
  <si>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</si>
  <si>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</si>
  <si>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</si>
  <si>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</si>
  <si>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</si>
  <si>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</si>
  <si>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</si>
  <si>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</si>
  <si>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</si>
  <si>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</si>
  <si>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</si>
  <si>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</si>
  <si>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</si>
  <si>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</si>
  <si>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</si>
  <si>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</si>
  <si>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</si>
  <si>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</si>
  <si>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</si>
  <si>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</si>
  <si>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</si>
  <si>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</si>
  <si>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</si>
  <si>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</si>
  <si>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</si>
  <si>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</si>
  <si>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</si>
  <si>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</si>
  <si>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</si>
  <si>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</si>
  <si>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</si>
  <si>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</si>
  <si>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</si>
  <si>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</si>
  <si>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</si>
  <si>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</si>
  <si>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</si>
  <si>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</si>
  <si>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</si>
  <si>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</si>
  <si>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</si>
  <si>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</si>
  <si>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</si>
  <si>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</si>
  <si>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</si>
  <si>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</si>
  <si>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</si>
  <si>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</si>
  <si>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</si>
  <si>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</si>
  <si>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</si>
  <si>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</si>
  <si>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</si>
  <si>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</si>
  <si>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</si>
  <si>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</si>
  <si>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</si>
  <si>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</si>
  <si>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</si>
  <si>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</si>
  <si>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</si>
  <si>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</si>
  <si>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</si>
  <si>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</si>
  <si>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</si>
  <si>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</si>
  <si>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</si>
  <si>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</si>
  <si>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</si>
  <si>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</si>
  <si>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</si>
  <si>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</si>
  <si>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</si>
  <si>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</si>
  <si>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</si>
  <si>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</si>
  <si>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</si>
  <si>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</si>
  <si>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</si>
  <si>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</si>
  <si>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</si>
  <si>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</si>
  <si>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</si>
  <si>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</si>
  <si>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</si>
  <si>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</si>
  <si>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</si>
  <si>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</si>
  <si>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</si>
  <si>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</si>
  <si>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</si>
  <si>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</si>
  <si>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</si>
  <si>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</si>
  <si>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</si>
  <si>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</si>
  <si>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</si>
  <si>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</si>
  <si>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</si>
  <si>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</si>
  <si>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</si>
  <si>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</si>
  <si>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</si>
  <si>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</si>
  <si>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</si>
  <si>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</si>
  <si>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</si>
  <si>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</si>
  <si>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</si>
  <si>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</si>
  <si>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</si>
  <si>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</si>
  <si>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</si>
  <si>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</si>
  <si>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</si>
  <si>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</si>
  <si>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</si>
  <si>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</si>
  <si>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</si>
  <si>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</si>
  <si>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</si>
  <si>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</si>
  <si>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</si>
  <si>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</si>
  <si>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</si>
  <si>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</si>
  <si>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</si>
  <si>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</si>
  <si>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</si>
  <si>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</si>
  <si>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</si>
  <si>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</si>
  <si>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</si>
  <si>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</si>
  <si>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</si>
  <si>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</si>
  <si>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</si>
  <si>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</si>
  <si>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</si>
  <si>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</si>
  <si>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</si>
  <si>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</si>
  <si>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</si>
  <si>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</si>
  <si>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</si>
  <si>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</si>
  <si>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</si>
  <si>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</si>
  <si>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</si>
  <si>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</si>
  <si>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</si>
  <si>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</si>
  <si>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</si>
  <si>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</si>
  <si>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</si>
  <si>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</si>
  <si>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</si>
  <si>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</si>
  <si>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</si>
  <si>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</si>
  <si>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</si>
  <si>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</si>
  <si>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</si>
  <si>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</si>
  <si>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</si>
  <si>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</si>
  <si>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</si>
  <si>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</si>
  <si>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</si>
  <si>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</si>
  <si>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</si>
  <si>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</si>
  <si>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</si>
  <si>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</si>
  <si>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</si>
  <si>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</si>
  <si>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</si>
  <si>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</si>
  <si>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</si>
  <si>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</si>
  <si>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</si>
  <si>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</si>
  <si>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</si>
  <si>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</si>
  <si>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</si>
  <si>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</si>
  <si>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</si>
  <si>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</si>
  <si>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</si>
  <si>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</si>
  <si>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</si>
  <si>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</si>
  <si>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</si>
  <si>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</si>
  <si>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</si>
  <si>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</si>
  <si>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</si>
  <si>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</si>
  <si>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</si>
  <si>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</si>
  <si>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</si>
  <si>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</si>
  <si>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</si>
  <si>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</si>
  <si>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</si>
  <si>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</si>
  <si>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</si>
  <si>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</si>
  <si>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</si>
  <si>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</si>
  <si>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</si>
  <si>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</si>
  <si>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</si>
  <si>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</si>
  <si>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</si>
  <si>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</si>
  <si>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</si>
  <si>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</si>
  <si>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</si>
  <si>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</si>
  <si>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</si>
  <si>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</si>
  <si>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</si>
  <si>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</si>
  <si>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</si>
  <si>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</si>
  <si>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</si>
  <si>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</si>
  <si>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</si>
  <si>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</si>
  <si>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</si>
  <si>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</si>
  <si>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</si>
  <si>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</si>
  <si>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</si>
  <si>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</si>
  <si>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</si>
  <si>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</si>
  <si>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</si>
  <si>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</si>
  <si>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</si>
  <si>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</si>
  <si>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</si>
  <si>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</si>
  <si>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</si>
  <si>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</si>
  <si>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</si>
  <si>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</si>
  <si>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</si>
  <si>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</si>
  <si>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</si>
  <si>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</si>
  <si>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</si>
  <si>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</si>
  <si>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</si>
  <si>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</si>
  <si>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</si>
  <si>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</si>
  <si>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</si>
  <si>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</si>
  <si>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</si>
  <si>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</si>
  <si>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</si>
  <si>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</si>
  <si>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</si>
  <si>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</si>
  <si>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</si>
  <si>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</si>
  <si>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</si>
  <si>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</si>
  <si>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</si>
  <si>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</si>
  <si>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</si>
  <si>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</si>
  <si>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</si>
  <si>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</si>
  <si>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</si>
  <si>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</si>
  <si>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</si>
  <si>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</si>
  <si>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</si>
  <si>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</si>
  <si>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</si>
  <si>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</si>
  <si>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</si>
  <si>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</si>
  <si>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</si>
  <si>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</si>
  <si>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</si>
  <si>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</si>
  <si>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</si>
  <si>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</si>
  <si>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</si>
  <si>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</si>
  <si>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</si>
  <si>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</si>
  <si>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</si>
  <si>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</si>
  <si>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</si>
  <si>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</si>
  <si>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</si>
  <si>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</si>
  <si>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</si>
  <si>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</si>
  <si>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</si>
  <si>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</si>
  <si>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</si>
  <si>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</si>
  <si>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</si>
  <si>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</si>
  <si>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</si>
  <si>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</si>
  <si>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</si>
  <si>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</si>
  <si>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</si>
  <si>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</si>
  <si>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</si>
  <si>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</si>
  <si>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</si>
  <si>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</si>
  <si>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</si>
  <si>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</si>
  <si>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</si>
  <si>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</si>
  <si>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</si>
  <si>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</si>
  <si>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</si>
  <si>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</si>
  <si>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</si>
  <si>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</si>
  <si>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</si>
  <si>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</si>
  <si>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</si>
  <si>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</si>
  <si>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</si>
  <si>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</si>
  <si>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</si>
  <si>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</si>
  <si>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</si>
  <si>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</si>
  <si>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</si>
  <si>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</si>
  <si>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</si>
  <si>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</si>
  <si>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</si>
  <si>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</si>
  <si>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</si>
  <si>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</si>
  <si>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</si>
  <si>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</si>
  <si>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</si>
  <si>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</si>
  <si>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</si>
  <si>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</si>
  <si>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</si>
  <si>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</si>
  <si>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</si>
  <si>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</si>
  <si>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</si>
  <si>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</si>
  <si>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</si>
  <si>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</si>
  <si>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</si>
  <si>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</si>
  <si>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</si>
  <si>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</si>
  <si>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</si>
  <si>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</si>
  <si>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</si>
  <si>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</si>
  <si>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</si>
  <si>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</si>
  <si>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</si>
  <si>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</si>
  <si>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</si>
  <si>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</si>
  <si>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</si>
  <si>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</si>
  <si>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</si>
  <si>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</si>
  <si>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</si>
  <si>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</si>
  <si>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</si>
  <si>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</si>
  <si>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</si>
  <si>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</si>
  <si>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</si>
  <si>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</si>
  <si>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</si>
  <si>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</si>
  <si>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</si>
  <si>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</si>
  <si>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</si>
  <si>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</si>
  <si>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</si>
  <si>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</si>
  <si>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</si>
  <si>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</si>
  <si>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</si>
  <si>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</si>
  <si>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</si>
  <si>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</si>
  <si>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</si>
  <si>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</si>
  <si>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</si>
  <si>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</si>
  <si>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</si>
  <si>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</si>
  <si>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</si>
  <si>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</si>
  <si>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</si>
  <si>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</si>
  <si>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</si>
  <si>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</si>
  <si>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</si>
  <si>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</si>
  <si>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</si>
  <si>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</si>
  <si>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</si>
  <si>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</si>
  <si>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</si>
  <si>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</si>
  <si>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</si>
  <si>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</si>
  <si>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</si>
  <si>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</si>
  <si>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</si>
  <si>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</si>
  <si>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</si>
  <si>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</si>
  <si>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</si>
  <si>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</si>
  <si>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</si>
  <si>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</si>
  <si>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</si>
  <si>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</si>
  <si>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</si>
  <si>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</si>
  <si>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</si>
  <si>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</si>
  <si>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</si>
  <si>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</si>
  <si>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</si>
  <si>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</si>
  <si>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</si>
  <si>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</si>
  <si>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</si>
  <si>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</si>
  <si>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</si>
  <si>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</si>
  <si>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</si>
  <si>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</si>
  <si>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</si>
  <si>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</si>
  <si>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</si>
  <si>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</si>
  <si>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</si>
  <si>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</si>
  <si>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</si>
  <si>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</si>
  <si>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</si>
  <si>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</si>
  <si>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</si>
  <si>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</si>
  <si>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</si>
  <si>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</si>
  <si>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</si>
  <si>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</si>
  <si>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</si>
  <si>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</si>
  <si>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</si>
  <si>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</si>
  <si>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</si>
  <si>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</si>
  <si>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</si>
  <si>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</si>
  <si>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</si>
  <si>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</si>
  <si>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</si>
  <si>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</si>
  <si>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</si>
  <si>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</si>
  <si>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</si>
  <si>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</si>
  <si>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</si>
  <si>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</si>
  <si>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</si>
  <si>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</si>
  <si>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</si>
  <si>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</si>
  <si>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</si>
  <si>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</si>
  <si>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</si>
  <si>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</si>
  <si>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</si>
  <si>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</si>
  <si>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</si>
  <si>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</si>
  <si>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</si>
  <si>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</si>
  <si>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</si>
  <si>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</si>
  <si>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</si>
  <si>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</si>
  <si>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</si>
  <si>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</si>
  <si>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</si>
  <si>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</si>
  <si>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</si>
  <si>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</si>
  <si>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</si>
  <si>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</si>
  <si>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</si>
  <si>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</si>
  <si>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</si>
  <si>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</si>
  <si>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</si>
  <si>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</si>
  <si>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</si>
  <si>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</si>
  <si>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</si>
  <si>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</si>
  <si>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</si>
  <si>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</si>
  <si>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</si>
  <si>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</si>
  <si>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</si>
  <si>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</si>
  <si>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</si>
  <si>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</si>
  <si>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</si>
  <si>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</si>
  <si>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</si>
  <si>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</si>
  <si>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</si>
  <si>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</si>
  <si>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</si>
  <si>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</si>
  <si>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</si>
  <si>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</si>
  <si>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</si>
  <si>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</si>
  <si>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</si>
  <si>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</si>
  <si>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</si>
  <si>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</si>
  <si>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</si>
  <si>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</si>
  <si>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</si>
  <si>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</si>
  <si>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</si>
  <si>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</si>
  <si>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</si>
  <si>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</si>
  <si>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</si>
  <si>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</si>
  <si>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</si>
  <si>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</si>
  <si>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</si>
  <si>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</si>
  <si>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</si>
  <si>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</si>
  <si>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</si>
  <si>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</si>
  <si>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</si>
  <si>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</si>
  <si>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</si>
  <si>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</si>
  <si>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</si>
  <si>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</si>
  <si>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</si>
  <si>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</si>
  <si>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</si>
  <si>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</si>
  <si>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</si>
  <si>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</si>
  <si>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</si>
  <si>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</si>
  <si>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</si>
  <si>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</si>
  <si>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</si>
  <si>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</si>
  <si>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</si>
  <si>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</si>
  <si>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</si>
  <si>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</si>
  <si>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</si>
  <si>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</si>
  <si>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</si>
  <si>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</si>
  <si>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</si>
  <si>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</si>
  <si>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</si>
  <si>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</si>
  <si>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</si>
  <si>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</si>
  <si>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</si>
  <si>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</si>
  <si>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</si>
  <si>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</si>
  <si>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</si>
  <si>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</si>
  <si>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</si>
  <si>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</si>
  <si>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</si>
  <si>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</si>
  <si>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</si>
  <si>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</si>
  <si>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</si>
  <si>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</si>
  <si>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</si>
  <si>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</si>
  <si>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</si>
  <si>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</si>
  <si>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</si>
  <si>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</si>
  <si>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</si>
  <si>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</si>
  <si>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</si>
  <si>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</si>
  <si>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</si>
  <si>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</si>
  <si>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</si>
  <si>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</si>
  <si>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</si>
  <si>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</si>
  <si>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</si>
  <si>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</si>
  <si>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</si>
  <si>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</si>
  <si>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</si>
  <si>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</si>
  <si>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</si>
  <si>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</si>
  <si>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</si>
  <si>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</si>
  <si>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</si>
  <si>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</si>
  <si>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</si>
  <si>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</si>
  <si>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</si>
  <si>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</si>
  <si>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</si>
  <si>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</si>
  <si>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</si>
  <si>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</si>
  <si>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</si>
  <si>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</si>
  <si>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</si>
  <si>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</si>
  <si>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</si>
  <si>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</si>
  <si>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</si>
  <si>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</si>
  <si>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</si>
  <si>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</si>
  <si>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</si>
  <si>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</si>
  <si>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</si>
  <si>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</si>
  <si>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</si>
  <si>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</si>
  <si>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</si>
  <si>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</si>
  <si>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</si>
  <si>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</si>
  <si>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</si>
  <si>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</si>
  <si>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</si>
  <si>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</si>
  <si>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</si>
  <si>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</si>
  <si>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</si>
  <si>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</si>
  <si>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</si>
  <si>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</si>
  <si>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</si>
  <si>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</si>
  <si>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</si>
  <si>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</si>
  <si>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</si>
  <si>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</si>
  <si>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</si>
  <si>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</si>
  <si>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</si>
  <si>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</si>
  <si>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</si>
  <si>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</si>
  <si>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</si>
  <si>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</si>
  <si>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</si>
  <si>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</si>
  <si>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</si>
  <si>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</si>
  <si>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</si>
  <si>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</si>
  <si>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</si>
  <si>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</si>
  <si>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</si>
  <si>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</si>
  <si>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</si>
  <si>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</si>
  <si>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</si>
  <si>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</si>
  <si>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</si>
  <si>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</si>
  <si>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</si>
  <si>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</si>
  <si>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</si>
  <si>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</si>
  <si>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</si>
  <si>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</si>
  <si>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</si>
  <si>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</si>
  <si>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</si>
  <si>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</si>
  <si>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</si>
  <si>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</si>
  <si>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</si>
  <si>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</si>
  <si>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</si>
  <si>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</si>
  <si>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</si>
  <si>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</si>
  <si>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</si>
  <si>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</si>
  <si>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</si>
  <si>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</si>
  <si>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</si>
  <si>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</si>
  <si>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</si>
  <si>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</si>
  <si>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</si>
  <si>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</si>
  <si>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</si>
  <si>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</si>
  <si>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</si>
  <si>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</si>
  <si>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</si>
  <si>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</si>
  <si>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</si>
  <si>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</si>
  <si>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</si>
  <si>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</si>
  <si>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</si>
  <si>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</si>
  <si>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</si>
  <si>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</si>
  <si>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</si>
  <si>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</si>
  <si>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</si>
  <si>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</si>
  <si>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</si>
  <si>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</si>
  <si>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</si>
  <si>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</si>
  <si>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</si>
  <si>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</si>
  <si>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</si>
  <si>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</si>
  <si>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</si>
  <si>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</si>
  <si>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</si>
  <si>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</si>
  <si>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</si>
  <si>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</si>
  <si>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</si>
  <si>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</si>
  <si>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</si>
  <si>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</si>
  <si>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</si>
  <si>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</si>
  <si>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</si>
  <si>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</si>
  <si>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</si>
  <si>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</si>
  <si>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</si>
  <si>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</si>
  <si>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</si>
  <si>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</si>
  <si>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</si>
  <si>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</si>
  <si>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</si>
  <si>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</si>
  <si>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</si>
  <si>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</si>
  <si>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</si>
  <si>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</si>
  <si>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</si>
  <si>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</si>
  <si>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</si>
  <si>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</si>
  <si>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</si>
  <si>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</si>
  <si>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</si>
  <si>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</si>
  <si>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</si>
  <si>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</si>
  <si>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</si>
  <si>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</si>
  <si>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</si>
  <si>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</si>
  <si>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</si>
  <si>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</si>
  <si>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</si>
  <si>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</si>
  <si>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</si>
  <si>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</si>
  <si>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</si>
  <si>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</si>
  <si>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</si>
  <si>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</si>
  <si>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</si>
  <si>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</si>
  <si>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</si>
  <si>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</si>
  <si>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</si>
  <si>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</si>
  <si>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</si>
  <si>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</si>
  <si>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</si>
  <si>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</si>
  <si>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</si>
  <si>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</si>
  <si>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</si>
  <si>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</si>
  <si>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</si>
  <si>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</si>
  <si>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</si>
  <si>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</si>
  <si>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</si>
  <si>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</si>
  <si>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</si>
  <si>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</si>
  <si>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</si>
  <si>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</si>
  <si>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</si>
  <si>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</si>
  <si>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</si>
  <si>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</si>
  <si>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</si>
  <si>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</si>
  <si>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</si>
  <si>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</si>
  <si>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</si>
  <si>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</si>
  <si>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</si>
  <si>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</si>
  <si>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</si>
  <si>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</si>
  <si>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</si>
  <si>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</si>
  <si>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</si>
  <si>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</si>
  <si>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</si>
  <si>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</si>
  <si>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</si>
  <si>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</si>
  <si>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</si>
  <si>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</si>
  <si>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</si>
  <si>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</si>
  <si>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</si>
  <si>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</si>
  <si>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</si>
  <si>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</si>
  <si>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</si>
  <si>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</si>
  <si>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</si>
  <si>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</si>
  <si>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</si>
  <si>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</si>
  <si>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</si>
  <si>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</si>
  <si>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</si>
  <si>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</si>
  <si>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</si>
  <si>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</si>
  <si>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</si>
  <si>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</si>
  <si>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</si>
  <si>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</si>
  <si>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</si>
  <si>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</si>
  <si>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</si>
  <si>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</si>
  <si>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</si>
  <si>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</si>
  <si>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</si>
  <si>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</si>
  <si>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</si>
  <si>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</si>
  <si>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</si>
  <si>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</si>
  <si>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</si>
  <si>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</si>
  <si>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</si>
  <si>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</si>
  <si>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</si>
  <si>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</si>
  <si>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</si>
  <si>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</si>
  <si>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</si>
  <si>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</si>
  <si>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</si>
  <si>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</si>
  <si>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</si>
  <si>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</si>
  <si>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</si>
  <si>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</si>
  <si>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</si>
  <si>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</si>
  <si>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</si>
  <si>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</si>
  <si>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</si>
  <si>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</si>
  <si>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</si>
  <si>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</si>
  <si>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</si>
  <si>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</si>
  <si>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</si>
  <si>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</si>
  <si>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</si>
  <si>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</si>
  <si>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</si>
  <si>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</si>
  <si>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</si>
  <si>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</si>
  <si>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</si>
  <si>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</si>
  <si>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</si>
  <si>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</si>
  <si>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</si>
  <si>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</si>
  <si>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</si>
  <si>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</si>
  <si>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</si>
  <si>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</si>
  <si>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</si>
  <si>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</si>
  <si>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</si>
  <si>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</si>
  <si>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</si>
  <si>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</si>
  <si>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</si>
  <si>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</si>
  <si>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</si>
  <si>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</si>
  <si>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</si>
  <si>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</si>
  <si>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</si>
  <si>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</si>
  <si>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</si>
  <si>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</si>
  <si>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</si>
  <si>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</si>
  <si>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</si>
  <si>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</si>
  <si>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</si>
  <si>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</si>
  <si>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</si>
  <si>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</si>
  <si>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</si>
  <si>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</si>
  <si>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</si>
  <si>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</si>
  <si>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</si>
  <si>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</si>
  <si>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</si>
  <si>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</si>
  <si>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</si>
  <si>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</si>
  <si>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</si>
  <si>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</si>
  <si>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</si>
  <si>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</si>
  <si>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</si>
  <si>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</si>
  <si>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</si>
  <si>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</si>
  <si>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</si>
  <si>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</si>
  <si>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</si>
  <si>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</si>
  <si>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</si>
  <si>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</si>
  <si>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</si>
  <si>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</si>
  <si>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</si>
  <si>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</si>
  <si>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</si>
  <si>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</si>
  <si>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</si>
  <si>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</si>
  <si>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</si>
  <si>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</si>
  <si>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</si>
  <si>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</si>
  <si>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</si>
  <si>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</si>
  <si>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</si>
  <si>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</si>
  <si>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</si>
  <si>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</si>
  <si>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</si>
  <si>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</si>
  <si>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</si>
  <si>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</si>
  <si>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</si>
  <si>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</si>
  <si>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</si>
  <si>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</si>
  <si>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</si>
  <si>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</si>
  <si>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</si>
  <si>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</si>
  <si>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</si>
  <si>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</si>
  <si>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</si>
  <si>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</si>
  <si>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</si>
  <si>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</si>
  <si>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</si>
  <si>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</si>
  <si>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</si>
  <si>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</si>
  <si>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</si>
  <si>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</si>
  <si>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</si>
  <si>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</si>
  <si>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</si>
  <si>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</si>
  <si>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</si>
  <si>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</si>
  <si>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</si>
  <si>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</si>
  <si>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</si>
  <si>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</si>
  <si>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</si>
  <si>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</si>
  <si>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</si>
  <si>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</si>
  <si>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</si>
  <si>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</si>
  <si>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</si>
  <si>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</si>
  <si>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</si>
  <si>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</si>
  <si>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</si>
  <si>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</si>
  <si>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</si>
  <si>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</si>
  <si>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</si>
  <si>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</si>
  <si>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</si>
  <si>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</si>
  <si>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</si>
  <si>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</si>
  <si>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</si>
  <si>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</si>
  <si>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</si>
  <si>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</si>
  <si>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</si>
  <si>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</si>
  <si>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</si>
  <si>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</si>
  <si>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</si>
  <si>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</si>
  <si>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</si>
  <si>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</si>
  <si>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</si>
  <si>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</si>
  <si>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</si>
  <si>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</si>
  <si>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</si>
  <si>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</si>
  <si>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</si>
  <si>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</si>
  <si>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</si>
  <si>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</si>
  <si>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</si>
  <si>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</si>
  <si>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</si>
  <si>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</si>
  <si>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</si>
  <si>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</si>
  <si>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</si>
  <si>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</si>
  <si>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</si>
  <si>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</si>
  <si>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</si>
  <si>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</si>
  <si>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</si>
  <si>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</si>
  <si>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</si>
  <si>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</si>
  <si>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</si>
  <si>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</si>
  <si>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</si>
  <si>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</si>
  <si>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</si>
  <si>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</si>
  <si>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</si>
  <si>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</si>
  <si>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</si>
  <si>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</si>
  <si>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</si>
  <si>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</si>
  <si>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</si>
  <si>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</si>
  <si>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</si>
  <si>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</si>
  <si>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</si>
  <si>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</si>
  <si>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</si>
  <si>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</si>
  <si>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</si>
  <si>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</si>
  <si>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</si>
  <si>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</si>
  <si>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</si>
  <si>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</si>
  <si>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</si>
  <si>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</si>
  <si>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</si>
  <si>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</si>
  <si>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</si>
  <si>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</si>
  <si>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</si>
  <si>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</si>
  <si>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</si>
  <si>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</si>
  <si>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</si>
  <si>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</si>
  <si>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</si>
  <si>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</si>
  <si>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</si>
  <si>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</si>
  <si>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</si>
  <si>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</si>
  <si>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</si>
  <si>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</si>
  <si>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</si>
  <si>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</si>
  <si>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</si>
  <si>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</si>
  <si>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</si>
  <si>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</si>
  <si>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</si>
  <si>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</si>
  <si>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</si>
  <si>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</si>
  <si>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</si>
  <si>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</si>
  <si>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</si>
  <si>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</si>
  <si>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</si>
  <si>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</si>
  <si>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</si>
  <si>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</si>
  <si>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</si>
  <si>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</si>
  <si>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</si>
  <si>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</si>
  <si>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</si>
  <si>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</si>
  <si>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</si>
  <si>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</si>
  <si>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</si>
  <si>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</si>
  <si>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</si>
  <si>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</si>
  <si>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</si>
  <si>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</si>
  <si>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</si>
  <si>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</si>
  <si>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</si>
  <si>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</si>
  <si>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</si>
  <si>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</si>
  <si>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</si>
  <si>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</si>
  <si>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</si>
  <si>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</si>
  <si>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</si>
  <si>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</si>
  <si>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</si>
  <si>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</si>
  <si>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</si>
  <si>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</si>
  <si>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</si>
  <si>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</si>
  <si>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</si>
  <si>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</si>
  <si>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</si>
  <si>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</si>
  <si>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</si>
  <si>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</si>
  <si>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</si>
  <si>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</si>
  <si>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</si>
  <si>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</si>
  <si>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</si>
  <si>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</si>
  <si>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</si>
  <si>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</si>
  <si>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</si>
  <si>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</si>
  <si>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</si>
  <si>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</si>
  <si>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</si>
  <si>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</si>
  <si>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</si>
  <si>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</si>
  <si>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</si>
  <si>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</si>
  <si>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</si>
  <si>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</si>
  <si>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</si>
  <si>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</si>
  <si>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</si>
  <si>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</si>
  <si>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</si>
  <si>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</si>
  <si>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</si>
  <si>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</si>
  <si>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</si>
  <si>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</si>
  <si>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</si>
  <si>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</si>
  <si>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</si>
  <si>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</si>
  <si>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</si>
  <si>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</si>
  <si>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</si>
  <si>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</si>
  <si>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</si>
  <si>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</si>
  <si>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</si>
  <si>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</si>
  <si>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</si>
  <si>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</si>
  <si>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</si>
  <si>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</si>
  <si>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</si>
  <si>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</si>
  <si>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</si>
  <si>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</si>
  <si>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</si>
  <si>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</si>
  <si>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</si>
  <si>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</si>
  <si>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</si>
  <si>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</si>
  <si>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</si>
  <si>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</si>
  <si>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</si>
  <si>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</si>
  <si>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</si>
  <si>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</si>
  <si>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</si>
  <si>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</si>
  <si>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</si>
  <si>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</si>
  <si>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</si>
  <si>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</si>
  <si>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</si>
  <si>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</si>
  <si>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</si>
  <si>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</si>
  <si>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</si>
  <si>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</si>
  <si>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</si>
  <si>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</si>
  <si>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</si>
  <si>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</si>
  <si>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</si>
  <si>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</si>
  <si>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</si>
  <si>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</si>
  <si>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</si>
  <si>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</si>
  <si>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</si>
  <si>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</si>
  <si>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</si>
  <si>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</si>
  <si>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</si>
  <si>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</si>
  <si>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</si>
  <si>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</si>
  <si>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</si>
  <si>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</si>
  <si>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</si>
  <si>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</si>
  <si>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</si>
  <si>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</si>
  <si>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</si>
  <si>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</si>
  <si>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</si>
  <si>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</si>
  <si>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</si>
  <si>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</si>
  <si>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</si>
  <si>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</si>
  <si>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</si>
  <si>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</si>
  <si>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</si>
  <si>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</si>
  <si>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</si>
  <si>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</si>
  <si>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</si>
  <si>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</si>
  <si>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</si>
  <si>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</si>
  <si>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</si>
  <si>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</si>
  <si>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</si>
  <si>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</si>
  <si>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</si>
  <si>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</si>
  <si>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</si>
  <si>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</si>
  <si>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</si>
  <si>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</si>
  <si>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</si>
  <si>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</si>
  <si>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</si>
  <si>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</si>
  <si>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</si>
  <si>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</si>
  <si>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</si>
  <si>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</si>
  <si>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</si>
  <si>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</si>
  <si>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</si>
  <si>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</si>
  <si>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</si>
  <si>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</si>
  <si>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</si>
  <si>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</si>
  <si>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</si>
  <si>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</si>
  <si>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</si>
  <si>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</si>
  <si>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</si>
  <si>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</si>
  <si>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</si>
  <si>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</si>
  <si>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</si>
  <si>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</si>
  <si>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</si>
  <si>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</si>
  <si>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</si>
  <si>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</si>
  <si>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</si>
  <si>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</si>
  <si>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</si>
  <si>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</si>
  <si>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</si>
  <si>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</si>
  <si>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</si>
  <si>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</si>
  <si>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</si>
  <si>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</si>
  <si>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</si>
  <si>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</si>
  <si>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</si>
  <si>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</si>
  <si>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</si>
  <si>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</si>
  <si>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</si>
  <si>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</si>
  <si>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</si>
  <si>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</si>
  <si>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</si>
  <si>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</si>
  <si>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</si>
  <si>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</si>
  <si>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</si>
  <si>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</si>
  <si>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</si>
  <si>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</si>
  <si>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</si>
  <si>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</si>
  <si>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</si>
  <si>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</si>
  <si>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</si>
  <si>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</si>
  <si>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</si>
  <si>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</si>
  <si>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</si>
  <si>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</si>
  <si>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</si>
  <si>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</si>
  <si>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</si>
  <si>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</si>
  <si>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</si>
  <si>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</si>
  <si>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</si>
  <si>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</si>
  <si>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</si>
  <si>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</si>
  <si>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</si>
  <si>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</si>
  <si>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</si>
  <si>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</si>
  <si>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</si>
  <si>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</si>
  <si>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</si>
  <si>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</si>
  <si>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</si>
  <si>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</si>
  <si>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</si>
  <si>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</si>
  <si>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</si>
  <si>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</si>
  <si>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</si>
  <si>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</si>
  <si>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</si>
  <si>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</si>
  <si>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</si>
  <si>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</si>
  <si>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</si>
  <si>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</si>
  <si>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</si>
  <si>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</si>
  <si>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</si>
  <si>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</si>
  <si>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</si>
  <si>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</si>
  <si>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</si>
  <si>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</si>
  <si>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</si>
  <si>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</si>
  <si>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</si>
  <si>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</si>
  <si>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</si>
  <si>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</si>
  <si>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</si>
  <si>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</si>
  <si>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</si>
  <si>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</si>
  <si>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</si>
  <si>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</si>
  <si>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</si>
  <si>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</si>
  <si>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</si>
  <si>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</si>
  <si>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</si>
  <si>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</si>
  <si>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</si>
  <si>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</si>
  <si>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</si>
  <si>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</si>
  <si>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</si>
  <si>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</si>
  <si>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</si>
  <si>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</si>
  <si>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</si>
  <si>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</si>
  <si>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</si>
  <si>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</si>
  <si>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</si>
  <si>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</si>
  <si>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</si>
  <si>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</si>
  <si>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</si>
  <si>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</si>
  <si>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</si>
  <si>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</si>
  <si>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</si>
  <si>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</si>
  <si>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</si>
  <si>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</si>
  <si>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</si>
  <si>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</si>
  <si>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</si>
  <si>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</si>
  <si>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</si>
  <si>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</si>
  <si>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</si>
  <si>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</si>
  <si>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</si>
  <si>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</si>
  <si>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</si>
  <si>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</si>
  <si>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</si>
  <si>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</si>
  <si>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</si>
  <si>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</si>
  <si>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</si>
  <si>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</si>
  <si>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</si>
  <si>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</si>
  <si>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</si>
  <si>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</si>
  <si>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</si>
  <si>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</si>
  <si>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</si>
  <si>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</si>
  <si>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</si>
  <si>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</si>
  <si>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</si>
  <si>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</si>
  <si>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</si>
  <si>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</si>
  <si>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</si>
  <si>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</si>
  <si>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</si>
  <si>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</si>
  <si>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</si>
  <si>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</si>
  <si>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</si>
  <si>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</si>
  <si>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</si>
  <si>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</si>
  <si>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</si>
  <si>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</si>
  <si>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</si>
  <si>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</si>
  <si>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</si>
  <si>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</si>
  <si>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</si>
  <si>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</si>
  <si>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</si>
  <si>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</si>
  <si>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</si>
  <si>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</si>
  <si>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</si>
  <si>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</si>
  <si>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</si>
  <si>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</si>
  <si>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</si>
  <si>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</si>
  <si>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</si>
  <si>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</si>
  <si>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</si>
  <si>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</si>
  <si>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</si>
  <si>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</si>
  <si>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</si>
  <si>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</si>
  <si>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</si>
  <si>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</si>
  <si>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</si>
  <si>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</si>
  <si>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</si>
  <si>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</si>
  <si>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</si>
  <si>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</si>
  <si>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</si>
  <si>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</si>
  <si>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</si>
  <si>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</si>
  <si>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</si>
  <si>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</si>
  <si>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</si>
  <si>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</si>
  <si>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</si>
  <si>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</si>
  <si>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</si>
  <si>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</si>
  <si>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</si>
  <si>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</si>
  <si>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</si>
  <si>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</si>
  <si>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</si>
  <si>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</si>
  <si>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</si>
  <si>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</si>
  <si>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</si>
  <si>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</si>
  <si>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</si>
  <si>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</si>
  <si>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</si>
  <si>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</si>
  <si>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</si>
  <si>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</si>
  <si>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</si>
  <si>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</si>
  <si>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</si>
  <si>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</si>
  <si>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</si>
  <si>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</si>
  <si>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</si>
  <si>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</si>
  <si>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</si>
  <si>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</si>
  <si>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</si>
  <si>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</si>
  <si>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</si>
  <si>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</si>
  <si>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</si>
  <si>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</si>
  <si>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</si>
  <si>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</si>
  <si>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</si>
  <si>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</si>
  <si>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</si>
  <si>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</si>
  <si>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</si>
  <si>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</si>
  <si>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</si>
  <si>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</si>
  <si>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</si>
  <si>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</si>
  <si>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</si>
  <si>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</si>
  <si>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</si>
  <si>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</si>
  <si>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</si>
  <si>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</si>
  <si>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</si>
  <si>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</si>
  <si>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</si>
  <si>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</si>
  <si>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</si>
  <si>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</si>
  <si>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</si>
  <si>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</si>
  <si>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</si>
  <si>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</si>
  <si>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</si>
  <si>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</si>
  <si>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</si>
  <si>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</si>
  <si>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</si>
  <si>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</si>
  <si>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</si>
  <si>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</si>
  <si>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</si>
  <si>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</si>
  <si>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</si>
  <si>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</si>
  <si>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</si>
  <si>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</si>
  <si>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</si>
  <si>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</si>
  <si>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</si>
  <si>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</si>
  <si>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</si>
  <si>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</si>
  <si>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</si>
  <si>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</si>
  <si>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</si>
  <si>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</si>
  <si>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</si>
  <si>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</si>
  <si>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</si>
  <si>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</si>
  <si>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</si>
  <si>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</si>
  <si>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</si>
  <si>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</si>
  <si>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</si>
  <si>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</si>
  <si>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</si>
  <si>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</si>
  <si>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</si>
  <si>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</si>
  <si>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</si>
  <si>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</si>
  <si>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</si>
  <si>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</si>
  <si>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</si>
  <si>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</si>
  <si>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</si>
  <si>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</si>
  <si>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</si>
  <si>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</si>
  <si>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</si>
  <si>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</si>
  <si>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</si>
  <si>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</si>
  <si>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</si>
  <si>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</si>
  <si>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</si>
  <si>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</si>
  <si>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</si>
  <si>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</si>
  <si>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</si>
  <si>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</si>
  <si>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</si>
  <si>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</si>
  <si>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</si>
  <si>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</si>
  <si>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</si>
  <si>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</si>
  <si>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</si>
  <si>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</si>
  <si>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</si>
  <si>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</si>
  <si>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</si>
  <si>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</si>
  <si>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</si>
  <si>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</si>
  <si>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</si>
  <si>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</si>
  <si>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</si>
  <si>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</si>
  <si>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</si>
  <si>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</si>
  <si>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</si>
  <si>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</si>
  <si>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</si>
  <si>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</si>
  <si>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</si>
  <si>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</si>
  <si>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</si>
  <si>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</si>
  <si>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</si>
  <si>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</si>
  <si>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</si>
  <si>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</si>
  <si>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</si>
  <si>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</si>
  <si>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</si>
  <si>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</si>
  <si>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</si>
  <si>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</si>
  <si>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</si>
  <si>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</si>
  <si>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</si>
  <si>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</si>
  <si>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</si>
  <si>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</si>
  <si>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</si>
  <si>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</si>
  <si>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</si>
  <si>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</si>
  <si>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</si>
  <si>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</si>
  <si>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</si>
  <si>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</si>
  <si>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</si>
  <si>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</si>
  <si>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</si>
  <si>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</si>
  <si>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</si>
  <si>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</si>
  <si>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</si>
  <si>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</si>
  <si>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</si>
  <si>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</si>
  <si>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</si>
  <si>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</si>
  <si>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</si>
  <si>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</si>
  <si>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</si>
  <si>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</si>
  <si>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</si>
  <si>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</si>
  <si>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</si>
  <si>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</si>
  <si>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</si>
  <si>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</si>
  <si>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</si>
  <si>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</si>
  <si>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</si>
  <si>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</si>
  <si>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</si>
  <si>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</si>
  <si>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</si>
  <si>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</si>
  <si>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</si>
  <si>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</si>
  <si>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</si>
  <si>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</si>
  <si>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</si>
  <si>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</si>
  <si>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</si>
  <si>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</si>
  <si>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</si>
  <si>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</si>
  <si>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</si>
  <si>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</si>
  <si>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</si>
  <si>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</si>
  <si>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</si>
  <si>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</si>
  <si>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</si>
  <si>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</si>
  <si>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</si>
  <si>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</si>
  <si>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</si>
  <si>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</si>
  <si>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</si>
  <si>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</si>
  <si>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</si>
  <si>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</si>
  <si>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</si>
  <si>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</si>
  <si>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</si>
  <si>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</si>
  <si>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</si>
  <si>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</si>
  <si>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</si>
  <si>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</si>
  <si>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</si>
  <si>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</si>
  <si>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</si>
  <si>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</si>
  <si>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</si>
  <si>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</si>
  <si>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</si>
  <si>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</si>
  <si>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</si>
  <si>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</si>
  <si>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</si>
  <si>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</si>
  <si>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</si>
  <si>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</si>
  <si>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</si>
  <si>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</si>
  <si>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</si>
  <si>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</si>
  <si>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</si>
  <si>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</si>
  <si>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</si>
  <si>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</si>
  <si>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</si>
  <si>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</si>
  <si>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</si>
  <si>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</si>
  <si>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</si>
  <si>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</si>
  <si>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</si>
  <si>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</si>
  <si>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</si>
  <si>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</si>
  <si>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</si>
  <si>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</si>
  <si>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</si>
  <si>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</si>
  <si>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</si>
  <si>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</si>
  <si>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</si>
  <si>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</si>
  <si>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</si>
  <si>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</si>
  <si>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</si>
  <si>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</si>
  <si>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</si>
  <si>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</si>
  <si>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</si>
  <si>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</si>
  <si>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</si>
  <si>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</si>
  <si>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</si>
  <si>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</si>
  <si>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</si>
  <si>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</si>
  <si>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</si>
  <si>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</si>
  <si>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</si>
  <si>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</si>
  <si>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</si>
  <si>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</si>
  <si>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</si>
  <si>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</si>
  <si>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</si>
  <si>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</si>
  <si>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</si>
  <si>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</si>
  <si>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</si>
  <si>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</si>
  <si>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</si>
  <si>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</si>
  <si>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</si>
  <si>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</si>
  <si>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</si>
  <si>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</si>
  <si>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</si>
  <si>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</si>
  <si>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</si>
  <si>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</si>
  <si>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</si>
  <si>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</si>
  <si>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</si>
  <si>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</si>
  <si>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</si>
  <si>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</si>
  <si>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</si>
  <si>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</si>
  <si>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</si>
  <si>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</si>
  <si>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</si>
  <si>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</si>
  <si>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</si>
  <si>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</si>
  <si>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</si>
  <si>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</si>
  <si>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</si>
  <si>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</si>
  <si>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</si>
  <si>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</si>
  <si>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</si>
  <si>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</si>
  <si>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</si>
  <si>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</si>
  <si>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</si>
  <si>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</si>
  <si>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</si>
  <si>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</si>
  <si>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</si>
  <si>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</si>
  <si>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</si>
  <si>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</si>
  <si>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</si>
  <si>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</si>
  <si>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</si>
  <si>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</si>
  <si>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</si>
  <si>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</si>
  <si>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</si>
  <si>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</si>
  <si>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</si>
  <si>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</si>
  <si>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</si>
  <si>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</si>
  <si>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</si>
  <si>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</si>
  <si>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</si>
  <si>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</si>
  <si>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</si>
  <si>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</si>
  <si>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</si>
  <si>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</si>
  <si>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</si>
  <si>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</si>
  <si>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</si>
  <si>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</si>
  <si>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</si>
  <si>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</si>
  <si>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</si>
  <si>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</si>
  <si>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</si>
  <si>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</si>
  <si>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</si>
  <si>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</si>
  <si>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</si>
  <si>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</si>
  <si>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</si>
  <si>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</si>
  <si>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</si>
  <si>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</si>
  <si>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</si>
  <si>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</si>
  <si>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</si>
  <si>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</si>
  <si>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</si>
  <si>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</si>
  <si>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</si>
  <si>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</si>
  <si>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</si>
  <si>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</si>
  <si>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</si>
  <si>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</si>
  <si>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</si>
  <si>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</si>
  <si>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</si>
  <si>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</si>
  <si>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</si>
  <si>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</si>
  <si>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</si>
  <si>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</si>
  <si>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</si>
  <si>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</si>
  <si>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</si>
  <si>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</si>
  <si>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</si>
  <si>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</si>
  <si>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</si>
  <si>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</si>
  <si>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</si>
  <si>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</si>
  <si>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</si>
  <si>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</si>
  <si>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</si>
  <si>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</si>
  <si>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</si>
  <si>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</si>
  <si>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</si>
  <si>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</si>
  <si>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</si>
  <si>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</si>
  <si>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</si>
  <si>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</si>
  <si>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</si>
  <si>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</si>
  <si>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</si>
  <si>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</si>
  <si>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</si>
  <si>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</si>
  <si>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</si>
  <si>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</si>
  <si>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</si>
  <si>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</si>
  <si>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</si>
  <si>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</si>
  <si>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</si>
  <si>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</si>
  <si>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</si>
  <si>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</si>
  <si>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</si>
  <si>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</si>
  <si>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</si>
  <si>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</si>
  <si>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</si>
  <si>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</si>
  <si>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</si>
  <si>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</si>
  <si>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</si>
  <si>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</si>
  <si>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</si>
  <si>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</si>
  <si>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</si>
  <si>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</si>
  <si>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</si>
  <si>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</si>
  <si>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</si>
  <si>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</si>
  <si>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</si>
  <si>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</si>
  <si>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</si>
  <si>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</si>
  <si>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</si>
  <si>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</si>
  <si>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</si>
  <si>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</si>
  <si>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</si>
  <si>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</si>
  <si>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</si>
  <si>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</si>
  <si>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</si>
  <si>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</si>
  <si>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</si>
  <si>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</si>
  <si>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</si>
  <si>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</si>
  <si>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</si>
  <si>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</si>
  <si>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</si>
  <si>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</si>
  <si>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</si>
  <si>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</si>
  <si>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</si>
  <si>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</si>
  <si>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</si>
  <si>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</si>
  <si>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</si>
  <si>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</si>
  <si>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</si>
  <si>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</si>
  <si>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</si>
  <si>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</si>
  <si>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</si>
  <si>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</si>
  <si>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</si>
  <si>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</si>
  <si>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</si>
  <si>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</si>
  <si>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</si>
  <si>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</si>
  <si>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</si>
  <si>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</si>
  <si>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</si>
  <si>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</si>
  <si>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</si>
  <si>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</si>
  <si>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</si>
  <si>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</si>
  <si>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</si>
  <si>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</si>
  <si>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</si>
  <si>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</si>
  <si>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</si>
  <si>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</si>
  <si>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</si>
  <si>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</si>
  <si>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</si>
  <si>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</si>
  <si>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</si>
  <si>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</si>
  <si>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</si>
  <si>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</si>
  <si>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</si>
  <si>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</si>
  <si>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</si>
  <si>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</si>
  <si>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</si>
  <si>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</si>
  <si>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</si>
  <si>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</si>
  <si>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</si>
  <si>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</si>
  <si>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</si>
  <si>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</si>
  <si>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</si>
  <si>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</si>
  <si>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</si>
  <si>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</si>
  <si>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</si>
  <si>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</si>
  <si>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</si>
  <si>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</si>
  <si>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</si>
  <si>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</si>
  <si>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</si>
  <si>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</si>
  <si>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</si>
  <si>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</si>
  <si>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</si>
  <si>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</si>
  <si>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</si>
  <si>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</si>
  <si>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</si>
  <si>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</si>
  <si>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</si>
  <si>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</si>
  <si>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</si>
  <si>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</si>
  <si>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</si>
  <si>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</si>
  <si>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</si>
  <si>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</si>
  <si>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</si>
  <si>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</si>
  <si>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</si>
  <si>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</si>
  <si>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</si>
  <si>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</si>
  <si>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</si>
  <si>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</si>
  <si>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</si>
  <si>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</si>
  <si>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</si>
  <si>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</si>
  <si>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</si>
  <si>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</si>
  <si>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</si>
  <si>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</si>
  <si>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</si>
  <si>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</si>
  <si>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</si>
  <si>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</si>
  <si>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</si>
  <si>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</si>
  <si>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</si>
  <si>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</si>
  <si>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</si>
  <si>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</si>
  <si>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</si>
  <si>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</si>
  <si>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</si>
  <si>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</si>
  <si>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</si>
  <si>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</si>
  <si>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</si>
  <si>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</si>
  <si>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</si>
  <si>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</si>
  <si>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</si>
  <si>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</si>
  <si>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</si>
  <si>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</si>
  <si>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</si>
  <si>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</si>
  <si>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</si>
  <si>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</si>
  <si>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</si>
  <si>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</si>
  <si>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</si>
  <si>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</si>
  <si>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</si>
  <si>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</si>
  <si>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</si>
  <si>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</si>
  <si>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</si>
  <si>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</si>
  <si>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</si>
  <si>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</si>
  <si>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</si>
  <si>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</si>
  <si>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</si>
  <si>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</si>
  <si>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</si>
  <si>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</si>
  <si>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</si>
  <si>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</si>
  <si>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</si>
  <si>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</si>
  <si>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</si>
  <si>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</si>
  <si>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</si>
  <si>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</si>
  <si>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</si>
  <si>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</si>
  <si>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</si>
  <si>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</si>
  <si>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</si>
  <si>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</si>
  <si>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</si>
  <si>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</si>
  <si>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</si>
  <si>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</si>
  <si>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</si>
  <si>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</si>
  <si>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</si>
  <si>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</si>
  <si>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</si>
  <si>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</si>
  <si>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</si>
  <si>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</si>
  <si>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</si>
  <si>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</si>
  <si>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</si>
  <si>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</si>
  <si>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</si>
  <si>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</si>
  <si>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</si>
  <si>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</si>
  <si>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</si>
  <si>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</si>
  <si>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</si>
  <si>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</si>
  <si>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</si>
  <si>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</si>
  <si>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</si>
  <si>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</si>
  <si>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</si>
  <si>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</si>
  <si>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</si>
  <si>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</si>
  <si>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</si>
  <si>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</si>
  <si>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</si>
  <si>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</si>
  <si>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</si>
  <si>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</si>
  <si>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</si>
  <si>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</si>
  <si>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</si>
  <si>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</si>
  <si>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</si>
  <si>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</si>
  <si>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</si>
  <si>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</si>
  <si>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</si>
  <si>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</si>
  <si>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</si>
  <si>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</si>
  <si>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</si>
  <si>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</si>
  <si>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</si>
  <si>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</si>
  <si>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</si>
  <si>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</si>
  <si>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</si>
  <si>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</si>
  <si>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</si>
  <si>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</si>
  <si>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</si>
  <si>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</si>
  <si>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</si>
  <si>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</si>
  <si>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</si>
  <si>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</si>
  <si>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</si>
  <si>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</si>
  <si>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</si>
  <si>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</si>
  <si>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</si>
  <si>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</si>
  <si>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</si>
  <si>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</si>
  <si>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</si>
  <si>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</si>
  <si>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</si>
  <si>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</si>
  <si>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</si>
  <si>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</si>
  <si>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</si>
  <si>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</si>
  <si>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</si>
  <si>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</si>
  <si>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</si>
  <si>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</si>
  <si>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</si>
  <si>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</si>
  <si>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</si>
  <si>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</si>
  <si>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</si>
  <si>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</si>
  <si>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</si>
  <si>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</si>
  <si>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</si>
  <si>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</si>
  <si>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</si>
  <si>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</si>
  <si>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</si>
  <si>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</si>
  <si>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</si>
  <si>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</si>
  <si>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</si>
  <si>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</si>
  <si>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</si>
  <si>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</si>
  <si>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</si>
  <si>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</si>
  <si>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</si>
  <si>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</si>
  <si>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</si>
  <si>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</si>
  <si>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</si>
  <si>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</si>
  <si>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</si>
  <si>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</si>
  <si>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</si>
  <si>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</si>
  <si>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</si>
  <si>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</si>
  <si>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</si>
  <si>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</si>
  <si>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</si>
  <si>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</si>
  <si>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</si>
  <si>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</si>
  <si>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</si>
  <si>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</si>
  <si>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</si>
  <si>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</si>
  <si>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</si>
  <si>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</si>
  <si>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</si>
  <si>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</si>
  <si>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</si>
  <si>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</si>
  <si>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</si>
  <si>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</si>
  <si>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</si>
  <si>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</si>
  <si>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</si>
  <si>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</si>
  <si>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</si>
  <si>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</si>
  <si>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</si>
  <si>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</si>
  <si>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</si>
  <si>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</si>
  <si>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</si>
  <si>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</si>
  <si>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</si>
  <si>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</si>
  <si>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</si>
  <si>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</si>
  <si>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</si>
  <si>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</si>
  <si>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</si>
  <si>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</si>
  <si>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</si>
  <si>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</si>
  <si>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</si>
  <si>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</si>
  <si>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</si>
  <si>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</si>
  <si>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</si>
  <si>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</si>
  <si>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</si>
  <si>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</si>
  <si>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</si>
  <si>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</si>
  <si>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</si>
  <si>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</si>
  <si>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</si>
  <si>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</si>
  <si>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</si>
  <si>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</si>
  <si>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</si>
  <si>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</si>
  <si>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</si>
  <si>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</si>
  <si>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</si>
  <si>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</si>
  <si>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</si>
  <si>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</si>
  <si>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</si>
  <si>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</si>
  <si>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</si>
  <si>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</si>
  <si>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</si>
  <si>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</si>
  <si>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</si>
  <si>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</si>
  <si>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</si>
  <si>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</si>
  <si>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</si>
  <si>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</si>
  <si>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</si>
  <si>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</si>
  <si>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</si>
  <si>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</si>
  <si>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</si>
  <si>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</si>
  <si>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</si>
  <si>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</si>
  <si>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</si>
  <si>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</si>
  <si>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</si>
  <si>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</si>
  <si>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</si>
  <si>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</si>
  <si>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</si>
  <si>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</si>
  <si>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</si>
  <si>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</si>
  <si>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</si>
  <si>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</si>
  <si>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</si>
  <si>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</si>
  <si>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</si>
  <si>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</si>
  <si>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</si>
  <si>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</si>
  <si>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</si>
  <si>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</si>
  <si>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</si>
  <si>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</si>
  <si>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</si>
  <si>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</si>
  <si>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</si>
  <si>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</si>
  <si>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</si>
  <si>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</si>
  <si>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</si>
  <si>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</si>
  <si>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</si>
  <si>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</si>
  <si>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</si>
  <si>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</si>
  <si>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</si>
  <si>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</si>
  <si>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</si>
  <si>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</si>
  <si>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</si>
  <si>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</si>
  <si>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</si>
  <si>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</si>
  <si>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</si>
  <si>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</si>
  <si>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</si>
  <si>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</si>
  <si>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</si>
  <si>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</si>
  <si>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</si>
  <si>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</si>
  <si>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</si>
  <si>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</si>
  <si>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</si>
  <si>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</si>
  <si>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</si>
  <si>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</si>
  <si>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</si>
  <si>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</si>
  <si>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</si>
  <si>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</si>
  <si>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</si>
  <si>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</si>
  <si>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</si>
  <si>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</si>
  <si>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</si>
  <si>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</si>
  <si>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</si>
  <si>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</si>
  <si>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</si>
  <si>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</si>
  <si>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</si>
  <si>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</si>
  <si>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</si>
  <si>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</si>
  <si>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</si>
  <si>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</si>
  <si>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</si>
  <si>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</si>
  <si>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</si>
  <si>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</si>
  <si>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</si>
  <si>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</si>
  <si>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</si>
  <si>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</si>
  <si>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</si>
  <si>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</si>
  <si>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</si>
  <si>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</si>
  <si>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</si>
  <si>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</si>
  <si>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</si>
  <si>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</si>
  <si>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</si>
  <si>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</si>
  <si>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</si>
  <si>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</si>
  <si>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</si>
  <si>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</si>
  <si>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</si>
  <si>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</si>
  <si>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</si>
  <si>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</si>
  <si>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</si>
  <si>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</si>
  <si>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</si>
  <si>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</si>
  <si>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</si>
  <si>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</si>
  <si>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</si>
  <si>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</si>
  <si>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</si>
  <si>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</si>
  <si>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</si>
  <si>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</si>
  <si>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</si>
  <si>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</si>
  <si>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</si>
  <si>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</si>
  <si>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</si>
  <si>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</si>
  <si>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</si>
  <si>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</si>
  <si>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</si>
  <si>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</si>
  <si>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</si>
  <si>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</si>
  <si>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</si>
  <si>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</si>
  <si>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</si>
  <si>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</si>
  <si>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</si>
  <si>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</si>
  <si>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</si>
  <si>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</si>
  <si>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</si>
  <si>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</si>
  <si>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</si>
  <si>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</si>
  <si>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</si>
  <si>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</si>
  <si>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</si>
  <si>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</si>
  <si>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</si>
  <si>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</si>
  <si>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</si>
  <si>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</si>
  <si>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</si>
  <si>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</si>
  <si>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</si>
  <si>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</si>
  <si>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</si>
  <si>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</si>
  <si>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</si>
  <si>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</si>
  <si>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</si>
  <si>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</si>
  <si>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</si>
  <si>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</si>
  <si>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</si>
  <si>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</si>
  <si>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</si>
  <si>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</si>
  <si>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</si>
  <si>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</si>
  <si>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</si>
  <si>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</si>
  <si>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</si>
  <si>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</si>
  <si>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</si>
  <si>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</si>
  <si>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</si>
  <si>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</si>
  <si>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</si>
  <si>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</si>
  <si>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</si>
  <si>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</si>
  <si>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</si>
  <si>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</si>
  <si>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</si>
  <si>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</si>
  <si>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</si>
  <si>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</si>
  <si>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</si>
  <si>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</si>
  <si>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</si>
  <si>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</si>
  <si>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</si>
  <si>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</si>
  <si>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</si>
  <si>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</si>
  <si>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</si>
  <si>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</si>
  <si>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</si>
  <si>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</si>
  <si>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</si>
  <si>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</si>
  <si>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</si>
  <si>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</si>
  <si>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</si>
  <si>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</si>
  <si>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</si>
  <si>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</si>
  <si>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</si>
  <si>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</si>
  <si>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</si>
  <si>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</si>
  <si>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</si>
  <si>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</si>
  <si>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</si>
  <si>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</si>
  <si>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</si>
  <si>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</si>
  <si>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</si>
  <si>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</si>
  <si>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</si>
  <si>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</si>
  <si>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</si>
  <si>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</si>
  <si>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</si>
  <si>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</si>
  <si>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</si>
  <si>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</si>
  <si>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</si>
  <si>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</si>
  <si>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</si>
  <si>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</si>
  <si>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</si>
  <si>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</si>
  <si>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</si>
  <si>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</si>
  <si>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</si>
  <si>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</si>
  <si>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</si>
  <si>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</si>
  <si>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</si>
  <si>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</si>
  <si>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</si>
  <si>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</si>
  <si>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</si>
  <si>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</si>
  <si>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</si>
  <si>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</si>
  <si>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</si>
  <si>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</si>
  <si>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</si>
  <si>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</si>
  <si>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</si>
  <si>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</si>
  <si>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</si>
  <si>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</si>
  <si>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</si>
  <si>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</si>
  <si>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</si>
  <si>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</si>
  <si>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</si>
  <si>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</si>
  <si>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</si>
  <si>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</si>
  <si>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</si>
  <si>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</si>
  <si>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</si>
  <si>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</si>
  <si>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</si>
  <si>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</si>
  <si>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</si>
  <si>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</si>
  <si>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</si>
  <si>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</si>
  <si>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</si>
  <si>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</si>
  <si>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</si>
  <si>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</si>
  <si>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</si>
  <si>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</si>
  <si>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</si>
  <si>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</si>
  <si>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</si>
  <si>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</si>
  <si>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</si>
  <si>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</si>
  <si>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</si>
  <si>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</si>
  <si>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</si>
  <si>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</si>
  <si>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</si>
  <si>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</si>
  <si>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</si>
  <si>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</si>
  <si>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</si>
  <si>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</si>
  <si>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</si>
  <si>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</si>
  <si>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</si>
  <si>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</si>
  <si>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</si>
  <si>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</si>
  <si>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</si>
  <si>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</si>
  <si>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</si>
  <si>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</si>
  <si>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</si>
  <si>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</si>
  <si>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</si>
  <si>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</si>
  <si>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</si>
  <si>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</si>
  <si>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</si>
  <si>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</si>
  <si>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</si>
  <si>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</si>
  <si>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</si>
  <si>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</si>
  <si>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</si>
  <si>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</si>
  <si>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</si>
  <si>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</si>
  <si>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</si>
  <si>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</si>
  <si>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</si>
  <si>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</si>
  <si>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</si>
  <si>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</si>
  <si>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</si>
  <si>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</si>
  <si>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</si>
  <si>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</si>
  <si>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</si>
  <si>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</si>
  <si>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</si>
  <si>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</si>
  <si>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</si>
  <si>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</si>
  <si>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</si>
  <si>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</si>
  <si>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</si>
  <si>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</si>
  <si>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</si>
  <si>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</si>
  <si>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</si>
  <si>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</si>
  <si>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</si>
  <si>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</si>
  <si>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</si>
  <si>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</si>
  <si>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</si>
  <si>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</si>
  <si>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</si>
  <si>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</si>
  <si>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</si>
  <si>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</si>
  <si>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</si>
  <si>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</si>
  <si>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</si>
  <si>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</si>
  <si>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</si>
  <si>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</si>
  <si>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</si>
  <si>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</si>
  <si>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</si>
  <si>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</si>
  <si>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</si>
  <si>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</si>
  <si>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</si>
  <si>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</si>
  <si>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</si>
  <si>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</si>
  <si>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</si>
  <si>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</si>
  <si>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</si>
  <si>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</si>
  <si>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</si>
  <si>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</si>
  <si>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</si>
  <si>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</si>
  <si>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</si>
  <si>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</si>
  <si>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</si>
  <si>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</si>
  <si>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</si>
  <si>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</si>
  <si>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</si>
  <si>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</si>
  <si>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</si>
  <si>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</si>
  <si>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</si>
  <si>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</si>
  <si>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</si>
  <si>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</si>
  <si>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</si>
  <si>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</si>
  <si>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</si>
  <si>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</si>
  <si>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</si>
  <si>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</si>
  <si>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</si>
  <si>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</si>
  <si>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</si>
  <si>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</si>
  <si>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</si>
  <si>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</si>
  <si>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</si>
  <si>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</si>
  <si>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</si>
  <si>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</si>
  <si>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</si>
  <si>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</si>
  <si>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</si>
  <si>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</si>
  <si>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</si>
  <si>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</si>
  <si>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</si>
  <si>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</si>
  <si>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</si>
  <si>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</si>
  <si>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</si>
  <si>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</si>
  <si>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</si>
  <si>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</si>
  <si>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</si>
  <si>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</si>
  <si>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</si>
  <si>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</si>
  <si>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</si>
  <si>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</si>
  <si>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</si>
  <si>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</si>
  <si>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</si>
  <si>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</si>
  <si>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</si>
  <si>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</si>
  <si>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</si>
  <si>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</si>
  <si>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</si>
  <si>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</si>
  <si>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</si>
  <si>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</si>
  <si>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</si>
  <si>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</si>
  <si>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</si>
  <si>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</si>
  <si>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</si>
  <si>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</si>
  <si>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</si>
  <si>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</si>
  <si>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</si>
  <si>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</si>
  <si>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</si>
  <si>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</si>
  <si>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</si>
  <si>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</si>
  <si>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</si>
  <si>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</si>
  <si>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</si>
  <si>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</si>
  <si>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</si>
  <si>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</si>
  <si>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</si>
  <si>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</si>
  <si>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</si>
  <si>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</si>
  <si>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</si>
  <si>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</si>
  <si>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</si>
  <si>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</si>
  <si>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</si>
  <si>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</si>
  <si>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</si>
  <si>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</si>
  <si>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</si>
  <si>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</si>
  <si>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</si>
  <si>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</si>
  <si>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</si>
  <si>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</si>
  <si>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</si>
  <si>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</si>
  <si>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</si>
  <si>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</si>
  <si>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</si>
  <si>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</si>
  <si>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</si>
  <si>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</si>
  <si>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</si>
  <si>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</si>
  <si>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</si>
  <si>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</si>
  <si>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</si>
  <si>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</si>
  <si>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</si>
  <si>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</si>
  <si>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</si>
  <si>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</si>
  <si>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</si>
  <si>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</si>
  <si>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</si>
  <si>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</si>
  <si>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</si>
  <si>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</si>
  <si>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</si>
  <si>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</si>
  <si>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</si>
  <si>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</si>
  <si>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</si>
  <si>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</si>
  <si>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</si>
  <si>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</si>
  <si>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</si>
  <si>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</si>
  <si>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</si>
  <si>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</si>
  <si>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</si>
  <si>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</si>
  <si>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</si>
  <si>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</si>
  <si>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</si>
  <si>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</si>
  <si>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</si>
  <si>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</si>
  <si>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</si>
  <si>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</si>
  <si>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</si>
  <si>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</si>
  <si>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</si>
  <si>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</si>
  <si>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</si>
  <si>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</si>
  <si>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</si>
  <si>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</si>
  <si>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</si>
  <si>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</si>
  <si>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</si>
  <si>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</si>
  <si>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</si>
  <si>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</si>
  <si>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</si>
  <si>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</si>
  <si>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</si>
  <si>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</si>
  <si>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</si>
  <si>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</si>
  <si>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</si>
  <si>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</si>
  <si>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</si>
  <si>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</si>
  <si>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</si>
  <si>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</si>
  <si>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</si>
  <si>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</si>
  <si>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</si>
  <si>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</si>
  <si>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</si>
  <si>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</si>
  <si>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</si>
  <si>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</si>
  <si>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</si>
  <si>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</si>
  <si>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</si>
  <si>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</si>
  <si>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</si>
  <si>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</si>
  <si>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</si>
  <si>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</si>
  <si>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</si>
  <si>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</si>
  <si>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</si>
  <si>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</si>
  <si>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</si>
  <si>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</si>
  <si>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</si>
  <si>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</si>
  <si>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</si>
  <si>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</si>
  <si>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</si>
  <si>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</si>
  <si>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</si>
  <si>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</si>
  <si>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</si>
  <si>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</si>
  <si>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</si>
  <si>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</si>
  <si>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</si>
  <si>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</si>
  <si>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</si>
  <si>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</si>
  <si>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</si>
  <si>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</si>
  <si>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</si>
  <si>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</si>
  <si>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</si>
  <si>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</si>
  <si>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</si>
  <si>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</si>
  <si>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</si>
  <si>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</si>
  <si>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</si>
  <si>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</si>
  <si>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</si>
  <si>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</si>
  <si>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</si>
  <si>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</si>
  <si>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</si>
  <si>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</si>
  <si>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</si>
  <si>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</si>
  <si>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</si>
  <si>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</si>
  <si>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</si>
  <si>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</si>
  <si>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</si>
  <si>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</si>
  <si>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</si>
  <si>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</si>
  <si>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</si>
  <si>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</si>
  <si>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</si>
  <si>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</si>
  <si>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</si>
  <si>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</si>
  <si>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</si>
  <si>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</si>
  <si>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</si>
  <si>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</si>
  <si>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</si>
  <si>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</si>
  <si>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</si>
  <si>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</si>
  <si>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</si>
  <si>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</si>
  <si>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</si>
  <si>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</si>
  <si>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</si>
  <si>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</si>
  <si>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</si>
  <si>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</si>
  <si>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</si>
  <si>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</si>
  <si>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</si>
  <si>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</si>
  <si>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</si>
  <si>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</si>
  <si>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</si>
  <si>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</si>
  <si>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</si>
  <si>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</si>
  <si>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</si>
  <si>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</si>
  <si>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</si>
  <si>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</si>
  <si>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</si>
  <si>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</si>
  <si>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</si>
  <si>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</si>
  <si>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</si>
  <si>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</si>
  <si>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</si>
  <si>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</si>
  <si>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</si>
  <si>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</si>
  <si>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</si>
  <si>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</si>
  <si>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</si>
  <si>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</si>
  <si>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</si>
  <si>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</si>
  <si>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</si>
  <si>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</si>
  <si>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</si>
  <si>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</si>
  <si>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</si>
  <si>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</si>
  <si>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</si>
  <si>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</si>
  <si>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</si>
  <si>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</si>
  <si>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</si>
  <si>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</si>
  <si>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</si>
  <si>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</si>
  <si>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</si>
  <si>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</si>
  <si>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</si>
  <si>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</si>
  <si>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</si>
  <si>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</si>
  <si>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</si>
  <si>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</si>
  <si>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</si>
  <si>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</si>
  <si>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</si>
  <si>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</si>
  <si>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</si>
  <si>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</si>
  <si>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</si>
  <si>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</si>
  <si>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</si>
  <si>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</si>
  <si>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</si>
  <si>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</si>
  <si>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</si>
  <si>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</si>
  <si>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</si>
  <si>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</si>
  <si>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</si>
  <si>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</si>
  <si>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</si>
  <si>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</si>
  <si>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</si>
  <si>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</si>
  <si>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</si>
  <si>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</si>
  <si>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</si>
  <si>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</si>
  <si>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</si>
  <si>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</si>
  <si>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</si>
  <si>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</si>
  <si>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</si>
  <si>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</si>
  <si>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</si>
  <si>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</si>
  <si>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</si>
  <si>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</si>
  <si>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</si>
  <si>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</si>
  <si>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</si>
  <si>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</si>
  <si>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</si>
  <si>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</si>
  <si>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</si>
  <si>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</si>
  <si>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</si>
  <si>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</si>
  <si>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</si>
  <si>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</si>
  <si>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</si>
  <si>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</si>
  <si>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</si>
  <si>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</si>
  <si>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</si>
  <si>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</si>
  <si>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</si>
  <si>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</si>
  <si>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</si>
  <si>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</si>
  <si>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</si>
  <si>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</si>
  <si>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</si>
  <si>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</si>
  <si>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</si>
  <si>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</si>
  <si>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</si>
  <si>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</si>
  <si>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</si>
  <si>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</si>
  <si>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</si>
  <si>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</si>
  <si>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</si>
  <si>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</si>
  <si>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</si>
  <si>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</si>
  <si>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</si>
  <si>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</si>
  <si>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</si>
  <si>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</si>
  <si>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</si>
  <si>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</si>
  <si>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</si>
  <si>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</si>
  <si>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</si>
  <si>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</si>
  <si>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</si>
  <si>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</si>
  <si>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</si>
  <si>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</si>
  <si>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</si>
  <si>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</si>
  <si>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</si>
  <si>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</si>
  <si>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</si>
  <si>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</si>
  <si>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</si>
  <si>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</si>
  <si>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</si>
  <si>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</si>
  <si>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</si>
  <si>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</si>
  <si>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</si>
  <si>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</si>
  <si>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</si>
  <si>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</si>
  <si>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</si>
  <si>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</si>
  <si>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</si>
  <si>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</si>
  <si>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</si>
  <si>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</si>
  <si>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</si>
  <si>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</si>
  <si>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</si>
  <si>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</si>
  <si>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</si>
  <si>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</si>
  <si>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</si>
  <si>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</si>
  <si>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</si>
  <si>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</si>
  <si>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</si>
  <si>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</si>
  <si>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</si>
  <si>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</si>
  <si>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</si>
  <si>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</si>
  <si>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</si>
  <si>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</si>
  <si>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</si>
  <si>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</si>
  <si>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</si>
  <si>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</si>
  <si>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</si>
  <si>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</si>
  <si>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</si>
  <si>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</si>
  <si>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</si>
  <si>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</si>
  <si>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</si>
  <si>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</si>
  <si>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</si>
  <si>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</si>
  <si>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</si>
  <si>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</si>
  <si>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</si>
  <si>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</si>
  <si>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</si>
  <si>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</si>
  <si>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</si>
  <si>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</si>
  <si>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</si>
  <si>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</si>
  <si>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</si>
  <si>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</si>
  <si>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</si>
  <si>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</si>
  <si>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</si>
  <si>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</si>
  <si>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</si>
  <si>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</si>
  <si>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</si>
  <si>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</si>
  <si>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</si>
  <si>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</si>
  <si>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</si>
  <si>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</si>
  <si>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</si>
  <si>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</si>
  <si>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</si>
  <si>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</si>
  <si>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</si>
  <si>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</si>
  <si>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</si>
  <si>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</si>
  <si>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</si>
  <si>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</si>
  <si>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</si>
  <si>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</si>
  <si>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</si>
  <si>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</si>
  <si>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</si>
  <si>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</si>
  <si>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</si>
  <si>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</si>
  <si>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</si>
  <si>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</si>
  <si>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</si>
  <si>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</si>
  <si>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</si>
  <si>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</si>
  <si>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</si>
  <si>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</si>
  <si>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</si>
  <si>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</si>
  <si>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</si>
  <si>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</si>
  <si>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</si>
  <si>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</si>
  <si>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</si>
  <si>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</si>
  <si>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</si>
  <si>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</si>
  <si>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</si>
  <si>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</si>
  <si>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</si>
  <si>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</si>
  <si>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</si>
  <si>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</si>
  <si>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</si>
  <si>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</si>
  <si>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</si>
  <si>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</si>
  <si>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</si>
  <si>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</si>
  <si>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</si>
  <si>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</si>
  <si>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</si>
  <si>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</si>
  <si>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</si>
  <si>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</si>
  <si>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</si>
  <si>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</si>
  <si>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</si>
  <si>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</si>
  <si>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</si>
  <si>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</si>
  <si>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</si>
  <si>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</si>
  <si>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</si>
  <si>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</si>
  <si>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</si>
  <si>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</si>
  <si>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</si>
  <si>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</si>
  <si>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</si>
  <si>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</si>
  <si>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</si>
  <si>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</si>
  <si>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</si>
  <si>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</si>
  <si>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</si>
  <si>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</si>
  <si>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</si>
  <si>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</si>
  <si>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</si>
  <si>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</si>
  <si>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</si>
  <si>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</si>
  <si>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</si>
  <si>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</si>
  <si>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</si>
  <si>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</si>
  <si>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</si>
  <si>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</si>
  <si>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</si>
  <si>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</si>
  <si>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</si>
  <si>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</si>
  <si>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</si>
  <si>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</si>
  <si>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</si>
  <si>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</si>
  <si>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</si>
  <si>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</si>
  <si>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</si>
  <si>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</si>
  <si>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</si>
  <si>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</si>
  <si>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</si>
  <si>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</si>
  <si>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</si>
  <si>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</si>
  <si>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</si>
  <si>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</si>
  <si>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</si>
  <si>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</si>
  <si>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</si>
  <si>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</si>
  <si>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</si>
  <si>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</si>
  <si>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</si>
  <si>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</si>
  <si>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</si>
  <si>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</si>
  <si>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</si>
  <si>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</si>
  <si>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</si>
  <si>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</si>
  <si>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</si>
  <si>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</si>
  <si>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</si>
  <si>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</si>
  <si>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</si>
  <si>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</si>
  <si>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</si>
  <si>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</si>
  <si>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</si>
  <si>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</si>
  <si>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</si>
  <si>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</si>
  <si>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</si>
  <si>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</si>
  <si>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</si>
  <si>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</si>
  <si>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</si>
  <si>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</si>
  <si>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</si>
  <si>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</si>
  <si>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</si>
  <si>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</si>
  <si>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</si>
  <si>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</si>
  <si>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</si>
  <si>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</si>
  <si>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</si>
  <si>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</si>
  <si>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</si>
  <si>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</si>
  <si>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</si>
  <si>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</si>
  <si>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</si>
  <si>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</si>
  <si>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</si>
  <si>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</si>
  <si>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</si>
  <si>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</si>
  <si>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</si>
  <si>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</si>
  <si>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</si>
  <si>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</si>
  <si>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</si>
  <si>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</si>
  <si>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</si>
  <si>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</si>
  <si>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</si>
  <si>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</si>
  <si>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</si>
  <si>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</si>
  <si>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</si>
  <si>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</si>
  <si>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</si>
  <si>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</si>
  <si>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</si>
  <si>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</si>
  <si>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</si>
  <si>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</si>
  <si>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</si>
  <si>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</si>
  <si>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</si>
  <si>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</si>
  <si>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</si>
  <si>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</si>
  <si>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</si>
  <si>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</si>
  <si>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</si>
  <si>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</si>
  <si>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</si>
  <si>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</si>
  <si>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</si>
  <si>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</si>
  <si>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</si>
  <si>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</si>
  <si>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</si>
  <si>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</si>
  <si>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</si>
  <si>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</si>
  <si>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</si>
  <si>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</si>
  <si>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</si>
  <si>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</si>
  <si>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</si>
  <si>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</si>
  <si>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</si>
  <si>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</si>
  <si>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</si>
  <si>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</si>
  <si>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</si>
  <si>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</si>
  <si>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</si>
  <si>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</si>
  <si>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</si>
  <si>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</si>
  <si>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</si>
  <si>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</si>
  <si>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</si>
  <si>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</si>
  <si>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</si>
  <si>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</si>
  <si>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</si>
  <si>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</si>
  <si>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</si>
  <si>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</si>
  <si>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</si>
  <si>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</si>
  <si>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</si>
  <si>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</si>
  <si>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</si>
  <si>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</si>
  <si>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</si>
  <si>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</si>
  <si>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</si>
  <si>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</si>
  <si>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</si>
  <si>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</si>
  <si>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</si>
  <si>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</si>
  <si>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</si>
  <si>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</si>
  <si>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</si>
  <si>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</si>
  <si>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</si>
  <si>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</si>
  <si>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</si>
  <si>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</si>
  <si>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</si>
  <si>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</si>
  <si>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</si>
  <si>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</si>
  <si>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</si>
  <si>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</si>
  <si>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</si>
  <si>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</si>
  <si>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</si>
  <si>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</si>
  <si>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</si>
  <si>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</si>
  <si>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</si>
  <si>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</si>
  <si>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</si>
  <si>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</si>
  <si>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</si>
  <si>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</si>
  <si>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</si>
  <si>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</si>
  <si>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</si>
  <si>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</si>
  <si>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</si>
  <si>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</si>
  <si>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</si>
  <si>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</si>
  <si>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</si>
  <si>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</si>
  <si>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</si>
  <si>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</si>
  <si>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</si>
  <si>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</si>
  <si>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</si>
  <si>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</si>
  <si>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</si>
  <si>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</si>
  <si>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</si>
  <si>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</si>
  <si>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</si>
  <si>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</si>
  <si>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</si>
  <si>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</si>
  <si>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</si>
  <si>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</si>
  <si>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</si>
  <si>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</si>
  <si>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</si>
  <si>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</si>
  <si>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</si>
  <si>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</si>
  <si>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</si>
  <si>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</si>
  <si>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</si>
  <si>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</si>
  <si>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</si>
  <si>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</si>
  <si>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</si>
  <si>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</si>
  <si>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</si>
  <si>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</si>
  <si>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</si>
  <si>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</si>
  <si>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</si>
  <si>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</si>
  <si>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</si>
  <si>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</si>
  <si>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</si>
  <si>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</si>
  <si>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</si>
  <si>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</si>
  <si>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</si>
  <si>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</si>
  <si>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</si>
  <si>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</si>
  <si>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</si>
  <si>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</si>
  <si>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</si>
  <si>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</si>
  <si>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</si>
  <si>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</si>
  <si>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</si>
  <si>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</si>
  <si>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</si>
  <si>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</si>
  <si>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</si>
  <si>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</si>
  <si>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</si>
  <si>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</si>
  <si>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</si>
  <si>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</si>
  <si>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</si>
  <si>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</si>
  <si>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</si>
  <si>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</si>
  <si>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</si>
  <si>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</si>
  <si>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</si>
  <si>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</si>
  <si>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</si>
  <si>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</si>
  <si>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</si>
  <si>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</si>
  <si>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</si>
  <si>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</si>
  <si>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</si>
  <si>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</si>
  <si>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</si>
  <si>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</si>
  <si>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</si>
  <si>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</si>
  <si>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</si>
  <si>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</si>
  <si>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</si>
  <si>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</si>
  <si>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</si>
  <si>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</si>
  <si>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</si>
  <si>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</si>
  <si>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</si>
  <si>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</si>
  <si>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</si>
  <si>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</si>
  <si>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</si>
  <si>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</si>
  <si>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</si>
  <si>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</si>
  <si>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</si>
  <si>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</si>
  <si>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</si>
  <si>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</si>
  <si>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</si>
  <si>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</si>
  <si>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</si>
  <si>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</si>
  <si>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</si>
  <si>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</si>
  <si>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</si>
  <si>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</si>
  <si>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</si>
  <si>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</si>
  <si>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</si>
  <si>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</si>
  <si>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</si>
  <si>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</si>
  <si>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</si>
  <si>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</si>
  <si>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</si>
  <si>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</si>
  <si>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</si>
  <si>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</si>
  <si>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</si>
  <si>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</si>
  <si>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</si>
  <si>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</si>
  <si>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</si>
  <si>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</si>
  <si>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</si>
  <si>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</si>
  <si>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</si>
  <si>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</si>
  <si>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</si>
  <si>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</si>
  <si>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</si>
  <si>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</si>
  <si>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</si>
  <si>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</si>
  <si>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</si>
  <si>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</si>
  <si>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</si>
  <si>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</si>
  <si>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</si>
  <si>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</si>
  <si>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</si>
  <si>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</si>
  <si>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</si>
  <si>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</si>
  <si>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</si>
  <si>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</si>
  <si>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</si>
  <si>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</si>
  <si>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</si>
  <si>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</si>
  <si>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</si>
  <si>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</si>
  <si>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</si>
  <si>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</si>
  <si>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</si>
  <si>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</si>
  <si>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</si>
  <si>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</si>
  <si>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</si>
  <si>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</si>
  <si>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</si>
  <si>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</si>
  <si>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</si>
  <si>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</si>
  <si>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</si>
  <si>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</si>
  <si>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</si>
  <si>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</si>
  <si>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</si>
  <si>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</si>
  <si>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</si>
  <si>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</si>
  <si>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</si>
  <si>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</si>
  <si>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</si>
  <si>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</si>
  <si>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</si>
  <si>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</si>
  <si>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</si>
  <si>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</si>
  <si>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</si>
  <si>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</si>
  <si>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</si>
  <si>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</si>
  <si>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</si>
  <si>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</si>
  <si>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</si>
  <si>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</si>
  <si>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</si>
  <si>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</si>
  <si>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</si>
  <si>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</si>
  <si>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</si>
  <si>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</si>
  <si>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</si>
  <si>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</si>
  <si>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</si>
  <si>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</si>
  <si>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</si>
  <si>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</si>
  <si>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</si>
  <si>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</si>
  <si>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</si>
  <si>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</si>
  <si>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</si>
  <si>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</si>
  <si>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</si>
  <si>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</si>
  <si>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</si>
  <si>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</si>
  <si>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</si>
  <si>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</si>
  <si>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</si>
  <si>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</si>
  <si>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</si>
  <si>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</si>
  <si>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</si>
  <si>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</si>
  <si>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</si>
  <si>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</si>
  <si>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</si>
  <si>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</si>
  <si>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</si>
  <si>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</si>
  <si>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</si>
  <si>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</si>
  <si>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</si>
  <si>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</si>
  <si>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</si>
  <si>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</si>
  <si>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</si>
  <si>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</si>
  <si>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</si>
  <si>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</si>
  <si>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</si>
  <si>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</si>
  <si>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</si>
  <si>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</si>
  <si>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</si>
  <si>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</si>
  <si>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</si>
  <si>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</si>
  <si>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</si>
  <si>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</si>
  <si>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</si>
  <si>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</si>
  <si>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</si>
  <si>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</si>
  <si>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</si>
  <si>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</si>
  <si>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</si>
  <si>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</si>
  <si>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</si>
  <si>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</si>
  <si>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</si>
  <si>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</si>
  <si>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</si>
  <si>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</si>
  <si>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</si>
  <si>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</si>
  <si>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</si>
  <si>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</si>
  <si>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</si>
  <si>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</si>
  <si>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</si>
  <si>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</si>
  <si>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</si>
  <si>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</si>
  <si>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</si>
  <si>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</si>
  <si>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</si>
  <si>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</si>
  <si>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</si>
  <si>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</si>
  <si>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</si>
  <si>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</si>
  <si>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</si>
  <si>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</si>
  <si>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</si>
  <si>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</si>
  <si>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</si>
  <si>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</si>
  <si>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</si>
  <si>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</si>
  <si>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</si>
  <si>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</si>
  <si>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</si>
  <si>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</si>
  <si>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</si>
  <si>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</si>
  <si>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</si>
  <si>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</si>
  <si>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</si>
  <si>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</si>
  <si>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</si>
  <si>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</si>
  <si>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</si>
  <si>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</si>
  <si>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</si>
  <si>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</si>
  <si>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</si>
  <si>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</si>
  <si>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</si>
  <si>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</si>
  <si>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</si>
  <si>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</si>
  <si>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</si>
  <si>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</si>
  <si>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</si>
  <si>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</si>
  <si>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</si>
  <si>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</si>
  <si>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</si>
  <si>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</si>
  <si>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</si>
  <si>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</si>
  <si>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</si>
  <si>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</si>
  <si>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</si>
  <si>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</si>
  <si>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</si>
  <si>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</si>
  <si>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</si>
  <si>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</si>
  <si>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</si>
  <si>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</si>
  <si>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</si>
  <si>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</si>
  <si>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</si>
  <si>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</si>
  <si>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</si>
  <si>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</si>
  <si>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</si>
  <si>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</si>
  <si>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</si>
  <si>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</si>
  <si>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</si>
  <si>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</si>
  <si>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</si>
  <si>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</si>
  <si>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</si>
  <si>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</si>
  <si>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</si>
  <si>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</si>
  <si>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</si>
  <si>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</si>
  <si>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</si>
  <si>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</si>
  <si>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</si>
  <si>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</si>
  <si>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</si>
  <si>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</si>
  <si>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</si>
  <si>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</si>
  <si>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</si>
  <si>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</si>
  <si>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</si>
  <si>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</si>
  <si>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</si>
  <si>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</si>
  <si>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</si>
  <si>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</si>
  <si>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</si>
  <si>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</si>
  <si>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</si>
  <si>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</si>
  <si>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</si>
  <si>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</si>
  <si>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</si>
  <si>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</si>
  <si>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</si>
  <si>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</si>
  <si>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</si>
  <si>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</si>
  <si>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</si>
  <si>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</si>
  <si>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</si>
  <si>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</si>
  <si>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</si>
  <si>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</si>
  <si>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</si>
  <si>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</si>
  <si>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</si>
  <si>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</si>
  <si>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</si>
  <si>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</si>
  <si>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</si>
  <si>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</si>
  <si>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</si>
  <si>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</si>
  <si>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</si>
  <si>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</si>
  <si>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</si>
  <si>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</si>
  <si>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</si>
  <si>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</si>
  <si>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</si>
  <si>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</si>
  <si>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</si>
  <si>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</si>
  <si>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</si>
  <si>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</si>
  <si>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</si>
  <si>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</si>
  <si>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</si>
  <si>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</si>
  <si>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</si>
  <si>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</si>
  <si>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</si>
  <si>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</si>
  <si>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</si>
  <si>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</si>
  <si>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</si>
  <si>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</si>
  <si>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</si>
  <si>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</si>
  <si>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</si>
  <si>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</si>
  <si>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</si>
  <si>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</si>
  <si>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</si>
  <si>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</si>
  <si>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</si>
  <si>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</si>
  <si>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</si>
  <si>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</si>
  <si>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</si>
  <si>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</si>
  <si>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</si>
  <si>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</si>
  <si>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</si>
  <si>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</si>
  <si>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</si>
  <si>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</si>
  <si>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</si>
  <si>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</si>
  <si>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</si>
  <si>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</si>
  <si>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</si>
  <si>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</si>
  <si>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</si>
  <si>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</si>
  <si>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</si>
  <si>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</si>
  <si>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</si>
  <si>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</si>
  <si>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</si>
  <si>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</si>
  <si>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</si>
  <si>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</si>
  <si>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</si>
  <si>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</si>
  <si>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</si>
  <si>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</si>
  <si>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</si>
  <si>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</si>
  <si>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</si>
  <si>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</si>
  <si>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</si>
  <si>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</si>
  <si>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</si>
  <si>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</si>
  <si>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</si>
  <si>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</si>
  <si>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</si>
  <si>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</si>
  <si>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</si>
  <si>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</si>
  <si>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</si>
  <si>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</si>
  <si>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</si>
  <si>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</si>
  <si>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</si>
  <si>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</si>
  <si>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</si>
  <si>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</si>
  <si>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</si>
  <si>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</si>
  <si>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</si>
  <si>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</si>
  <si>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</si>
  <si>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</si>
  <si>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</si>
  <si>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</si>
  <si>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</si>
  <si>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</si>
  <si>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</si>
  <si>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</si>
  <si>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</si>
  <si>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</si>
  <si>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</si>
  <si>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</si>
  <si>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</si>
  <si>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</si>
  <si>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</si>
  <si>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</si>
  <si>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</si>
  <si>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</si>
  <si>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</si>
  <si>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</si>
  <si>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</si>
  <si>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</si>
  <si>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</si>
  <si>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</si>
  <si>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</si>
  <si>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</si>
  <si>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</si>
  <si>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</si>
  <si>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</si>
  <si>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</si>
  <si>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</si>
  <si>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</si>
  <si>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</si>
  <si>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</si>
  <si>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</si>
  <si>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</si>
  <si>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</si>
  <si>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</si>
  <si>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</si>
  <si>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</si>
  <si>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</si>
  <si>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</si>
  <si>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</si>
  <si>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</si>
  <si>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</si>
  <si>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</si>
  <si>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</si>
  <si>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</si>
  <si>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</si>
  <si>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</si>
  <si>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</si>
  <si>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</si>
  <si>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</si>
  <si>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</si>
  <si>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</si>
  <si>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</si>
  <si>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</si>
  <si>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</si>
  <si>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</si>
  <si>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</si>
  <si>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</si>
  <si>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</si>
  <si>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</si>
  <si>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</si>
  <si>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</si>
  <si>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</si>
  <si>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</si>
  <si>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</si>
  <si>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</si>
  <si>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</si>
  <si>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</si>
  <si>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</si>
  <si>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</si>
  <si>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</si>
  <si>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</si>
  <si>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</si>
  <si>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</si>
  <si>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</si>
  <si>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</si>
  <si>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</si>
  <si>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</si>
  <si>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</si>
  <si>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</si>
  <si>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</si>
  <si>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</si>
  <si>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</si>
  <si>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</si>
  <si>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</si>
  <si>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</si>
  <si>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</si>
  <si>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</si>
  <si>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</si>
  <si>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</si>
  <si>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</si>
  <si>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</si>
  <si>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</si>
  <si>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</si>
  <si>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</si>
  <si>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</si>
  <si>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</si>
  <si>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</si>
  <si>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</si>
  <si>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</si>
  <si>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</si>
  <si>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</si>
  <si>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</si>
  <si>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</si>
  <si>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</si>
  <si>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</si>
  <si>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</si>
  <si>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</si>
  <si>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</si>
  <si>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</si>
  <si>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</si>
  <si>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</si>
  <si>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</si>
  <si>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</si>
  <si>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</si>
  <si>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</si>
  <si>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</si>
  <si>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</si>
  <si>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</si>
  <si>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</si>
  <si>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</si>
  <si>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</si>
  <si>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</si>
  <si>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</si>
  <si>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</si>
  <si>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</si>
  <si>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</si>
  <si>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</si>
  <si>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</si>
  <si>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</si>
  <si>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</si>
  <si>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</si>
  <si>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</si>
  <si>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</si>
  <si>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</si>
  <si>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</si>
  <si>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</si>
  <si>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</si>
  <si>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</si>
  <si>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</si>
  <si>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</si>
  <si>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</si>
  <si>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</si>
  <si>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</si>
  <si>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</si>
  <si>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</si>
  <si>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</si>
  <si>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</si>
  <si>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</si>
  <si>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</si>
  <si>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</si>
  <si>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</si>
  <si>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</si>
  <si>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</si>
  <si>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</si>
  <si>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</si>
  <si>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</si>
  <si>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</si>
  <si>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</si>
  <si>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</si>
  <si>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</si>
  <si>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</si>
  <si>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</si>
  <si>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</si>
  <si>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</si>
  <si>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</si>
  <si>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</si>
  <si>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</si>
  <si>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</si>
  <si>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</si>
  <si>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</si>
  <si>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</si>
  <si>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</si>
  <si>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</si>
  <si>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</si>
  <si>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</si>
  <si>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</si>
  <si>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</si>
  <si>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</si>
  <si>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</si>
  <si>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</si>
  <si>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</si>
  <si>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</si>
  <si>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</si>
  <si>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</si>
  <si>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</si>
  <si>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</si>
  <si>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</si>
  <si>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</si>
  <si>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</si>
  <si>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</si>
  <si>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</si>
  <si>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</si>
  <si>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</si>
  <si>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</si>
  <si>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</si>
  <si>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</si>
  <si>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</si>
  <si>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</si>
  <si>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</si>
  <si>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</si>
  <si>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</si>
  <si>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</si>
  <si>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</si>
  <si>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</si>
  <si>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</si>
  <si>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</si>
  <si>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</si>
  <si>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</si>
  <si>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</si>
  <si>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</si>
  <si>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</si>
  <si>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</si>
  <si>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</si>
  <si>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</si>
  <si>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</si>
  <si>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</si>
  <si>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</si>
  <si>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</si>
  <si>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</si>
  <si>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</si>
  <si>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</si>
  <si>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</si>
  <si>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</si>
  <si>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</si>
  <si>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</si>
  <si>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</si>
  <si>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</si>
  <si>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</si>
  <si>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</si>
  <si>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</si>
  <si>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</si>
  <si>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</si>
  <si>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</si>
  <si>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</si>
  <si>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</si>
  <si>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</si>
  <si>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</si>
  <si>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</si>
  <si>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</si>
  <si>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</si>
  <si>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</si>
  <si>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</si>
  <si>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</si>
  <si>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</si>
  <si>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</si>
  <si>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</si>
  <si>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</si>
  <si>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</si>
  <si>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</si>
  <si>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</si>
  <si>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</si>
  <si>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</si>
  <si>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</si>
  <si>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</si>
  <si>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</si>
  <si>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</si>
  <si>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</si>
  <si>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</si>
  <si>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</si>
  <si>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</si>
  <si>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</si>
  <si>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</si>
  <si>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</si>
  <si>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</si>
  <si>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</si>
  <si>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</si>
  <si>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</si>
  <si>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</si>
  <si>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</si>
  <si>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</si>
  <si>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</si>
  <si>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</si>
  <si>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</si>
  <si>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</si>
  <si>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</si>
  <si>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</si>
  <si>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</si>
  <si>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</si>
  <si>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</si>
  <si>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</si>
  <si>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</si>
  <si>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</si>
  <si>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</si>
  <si>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</si>
  <si>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</si>
  <si>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</si>
  <si>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</si>
  <si>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</si>
  <si>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</si>
  <si>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</si>
  <si>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</si>
  <si>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</si>
  <si>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</si>
  <si>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</si>
  <si>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</si>
  <si>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</si>
  <si>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</si>
  <si>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</si>
  <si>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</si>
  <si>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</si>
  <si>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</si>
  <si>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</si>
  <si>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</si>
  <si>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</si>
  <si>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</si>
  <si>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</si>
  <si>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</si>
  <si>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</si>
  <si>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</si>
  <si>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</si>
  <si>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</si>
  <si>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</si>
  <si>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</si>
  <si>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</si>
  <si>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</si>
  <si>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</si>
  <si>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</si>
  <si>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</si>
  <si>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</si>
  <si>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</si>
  <si>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</si>
  <si>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</si>
  <si>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</si>
  <si>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</si>
  <si>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</si>
  <si>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</si>
  <si>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</si>
  <si>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</si>
  <si>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</si>
  <si>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</si>
  <si>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</si>
  <si>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</si>
  <si>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</si>
  <si>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</si>
  <si>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</si>
  <si>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</si>
  <si>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</si>
  <si>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</si>
  <si>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</si>
  <si>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</si>
  <si>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</si>
  <si>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</si>
  <si>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</si>
  <si>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</si>
  <si>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</si>
  <si>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</si>
  <si>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</si>
  <si>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</si>
  <si>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</si>
  <si>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</si>
  <si>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</si>
  <si>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</si>
  <si>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</si>
  <si>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</si>
  <si>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</si>
  <si>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</si>
  <si>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</si>
  <si>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</si>
  <si>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</si>
  <si>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</si>
  <si>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</si>
  <si>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</si>
  <si>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</si>
  <si>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</si>
  <si>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</si>
  <si>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</si>
  <si>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</si>
  <si>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</si>
  <si>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</si>
  <si>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</si>
  <si>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</si>
  <si>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</si>
  <si>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</si>
  <si>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</si>
  <si>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</si>
  <si>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</si>
  <si>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</si>
  <si>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</si>
  <si>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</si>
  <si>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</si>
  <si>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</si>
  <si>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</si>
  <si>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</si>
  <si>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</si>
  <si>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</si>
  <si>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</si>
  <si>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</si>
  <si>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</si>
  <si>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</si>
  <si>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</si>
  <si>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</si>
  <si>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</si>
  <si>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</si>
  <si>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</si>
  <si>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</si>
  <si>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</si>
  <si>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</si>
  <si>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</si>
  <si>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</si>
  <si>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</si>
  <si>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</si>
  <si>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</si>
  <si>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</si>
  <si>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</si>
  <si>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</si>
  <si>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</si>
  <si>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</si>
  <si>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</si>
  <si>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</si>
  <si>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</si>
  <si>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</si>
  <si>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</si>
  <si>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</si>
  <si>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</si>
  <si>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</si>
  <si>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</si>
  <si>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</si>
  <si>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</si>
  <si>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</si>
  <si>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</si>
  <si>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</si>
  <si>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</si>
  <si>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</si>
  <si>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</si>
  <si>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</si>
  <si>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</si>
  <si>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</si>
  <si>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</si>
  <si>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</si>
  <si>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</si>
  <si>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</si>
  <si>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</si>
  <si>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</si>
  <si>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</si>
  <si>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</si>
  <si>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</si>
  <si>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</si>
  <si>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</si>
  <si>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</si>
  <si>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</si>
  <si>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</si>
  <si>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</si>
  <si>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</si>
  <si>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</si>
  <si>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</si>
  <si>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</si>
  <si>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</si>
  <si>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</si>
  <si>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</si>
  <si>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</si>
  <si>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</si>
  <si>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</si>
  <si>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</si>
  <si>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</si>
  <si>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</si>
  <si>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</si>
  <si>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</si>
  <si>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</si>
  <si>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</si>
  <si>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</si>
  <si>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</si>
  <si>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</si>
  <si>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</si>
  <si>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</si>
  <si>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</si>
  <si>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</si>
  <si>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</si>
  <si>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</si>
  <si>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</si>
  <si>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</si>
  <si>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</si>
  <si>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</si>
  <si>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</si>
  <si>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</si>
  <si>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</si>
  <si>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</si>
  <si>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</si>
  <si>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</si>
  <si>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</si>
  <si>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</si>
  <si>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</si>
  <si>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</si>
  <si>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</si>
  <si>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</si>
  <si>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</si>
  <si>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</si>
  <si>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</si>
  <si>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</si>
  <si>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</si>
  <si>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</si>
  <si>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</si>
  <si>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</si>
  <si>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</si>
  <si>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</si>
  <si>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</si>
  <si>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</si>
  <si>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</si>
  <si>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</si>
  <si>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</si>
  <si>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</si>
  <si>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</si>
  <si>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</si>
  <si>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</si>
  <si>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</si>
  <si>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</si>
  <si>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</si>
  <si>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</si>
  <si>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</si>
  <si>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</si>
  <si>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</si>
  <si>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</si>
  <si>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</si>
  <si>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</si>
  <si>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</si>
  <si>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</si>
  <si>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</si>
  <si>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</si>
  <si>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</si>
  <si>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</si>
  <si>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</si>
  <si>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</si>
  <si>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</si>
  <si>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</si>
  <si>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</si>
  <si>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</si>
  <si>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</si>
  <si>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</si>
  <si>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</si>
  <si>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</si>
  <si>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</si>
  <si>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</si>
  <si>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</si>
  <si>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</si>
  <si>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</si>
  <si>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</si>
  <si>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</si>
  <si>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</si>
  <si>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</si>
  <si>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</si>
  <si>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</si>
  <si>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</si>
  <si>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</si>
  <si>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</si>
  <si>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</si>
  <si>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</si>
  <si>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</si>
  <si>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</si>
  <si>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</si>
  <si>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</si>
  <si>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</si>
  <si>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</si>
  <si>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</si>
  <si>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</si>
  <si>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</si>
  <si>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</si>
  <si>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</si>
  <si>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</si>
  <si>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</si>
  <si>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</si>
  <si>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</si>
  <si>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</si>
  <si>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</si>
  <si>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</si>
  <si>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</si>
  <si>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</si>
  <si>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</si>
  <si>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</si>
  <si>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</si>
  <si>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</si>
  <si>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</si>
  <si>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</si>
  <si>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</si>
  <si>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</si>
  <si>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</si>
  <si>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</si>
  <si>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</si>
  <si>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</si>
  <si>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</si>
  <si>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</si>
  <si>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</si>
  <si>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</si>
  <si>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</si>
  <si>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</si>
  <si>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</si>
  <si>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</si>
  <si>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</si>
  <si>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</si>
  <si>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</si>
  <si>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</si>
  <si>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</si>
  <si>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</si>
  <si>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</si>
  <si>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</si>
  <si>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</si>
  <si>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</si>
  <si>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</si>
  <si>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</si>
  <si>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</si>
  <si>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</si>
  <si>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</si>
  <si>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</si>
  <si>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</si>
  <si>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</si>
  <si>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</si>
  <si>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</si>
  <si>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</si>
  <si>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</si>
  <si>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</si>
  <si>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</si>
  <si>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</si>
  <si>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</si>
  <si>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</si>
  <si>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</si>
  <si>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</si>
  <si>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</si>
  <si>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</si>
  <si>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</si>
  <si>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</si>
  <si>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</si>
  <si>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</si>
  <si>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</si>
  <si>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</si>
  <si>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</si>
  <si>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</si>
  <si>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</si>
  <si>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</si>
  <si>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</si>
  <si>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</si>
  <si>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</si>
  <si>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</si>
  <si>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</si>
  <si>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</si>
  <si>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</si>
  <si>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</si>
  <si>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</si>
  <si>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</si>
  <si>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</si>
  <si>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</si>
  <si>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</si>
  <si>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</si>
  <si>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</si>
  <si>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</si>
  <si>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</si>
  <si>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</si>
  <si>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</si>
  <si>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</si>
  <si>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</si>
  <si>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</si>
  <si>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</si>
  <si>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</si>
  <si>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</si>
  <si>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</si>
  <si>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</si>
  <si>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</si>
  <si>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</si>
  <si>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</si>
  <si>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</si>
  <si>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</si>
  <si>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</si>
  <si>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</si>
  <si>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</si>
  <si>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</si>
  <si>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</si>
  <si>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</si>
  <si>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</si>
  <si>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</si>
  <si>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</si>
  <si>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</si>
  <si>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</si>
  <si>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</si>
  <si>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</si>
  <si>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</si>
  <si>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</si>
  <si>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</si>
  <si>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</si>
  <si>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</si>
  <si>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</si>
  <si>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</si>
  <si>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</si>
  <si>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</si>
  <si>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</si>
  <si>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</si>
  <si>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</si>
  <si>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</si>
  <si>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</si>
  <si>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</si>
  <si>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</si>
  <si>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</si>
  <si>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</si>
  <si>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</si>
  <si>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</si>
  <si>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</si>
  <si>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</si>
  <si>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</si>
  <si>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</si>
  <si>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</si>
  <si>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</si>
  <si>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</si>
  <si>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</si>
  <si>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</si>
  <si>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</si>
  <si>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</si>
  <si>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</si>
  <si>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</si>
  <si>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</si>
  <si>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</si>
  <si>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</si>
  <si>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</si>
  <si>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</si>
  <si>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</si>
  <si>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</si>
  <si>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</si>
  <si>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</si>
  <si>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</si>
  <si>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</si>
  <si>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</si>
  <si>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</si>
  <si>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</si>
  <si>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</si>
  <si>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</si>
  <si>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</si>
  <si>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</si>
  <si>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</si>
  <si>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</si>
  <si>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</si>
  <si>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</si>
  <si>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</si>
  <si>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</si>
  <si>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</si>
  <si>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</si>
  <si>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</si>
  <si>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</si>
  <si>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</si>
  <si>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</si>
  <si>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</si>
  <si>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</si>
  <si>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</si>
  <si>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</si>
  <si>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</si>
  <si>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</si>
  <si>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</si>
  <si>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</si>
  <si>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</si>
  <si>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</si>
  <si>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</si>
  <si>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</si>
  <si>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</si>
  <si>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</si>
  <si>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</si>
  <si>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</si>
  <si>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</si>
  <si>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</si>
  <si>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</si>
  <si>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</si>
  <si>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</si>
  <si>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</si>
  <si>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</si>
  <si>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</si>
  <si>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</si>
  <si>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</si>
  <si>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</si>
  <si>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</si>
  <si>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</si>
  <si>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</si>
  <si>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</si>
  <si>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</si>
  <si>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</si>
  <si>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</si>
  <si>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</si>
  <si>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</si>
  <si>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</si>
  <si>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</si>
  <si>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</si>
  <si>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</si>
  <si>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</si>
  <si>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</si>
  <si>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</si>
  <si>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</si>
  <si>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</si>
  <si>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</si>
  <si>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</si>
  <si>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</si>
  <si>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</si>
  <si>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</si>
  <si>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</si>
  <si>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</si>
  <si>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</si>
  <si>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</si>
  <si>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</si>
  <si>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</si>
  <si>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</si>
  <si>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</si>
  <si>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</si>
  <si>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</si>
  <si>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</si>
  <si>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</si>
  <si>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</si>
  <si>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</si>
  <si>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</si>
  <si>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</si>
  <si>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</si>
  <si>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</si>
  <si>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</si>
  <si>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</si>
  <si>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</si>
  <si>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</si>
  <si>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</si>
  <si>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</si>
  <si>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</si>
  <si>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</si>
  <si>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</si>
  <si>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</si>
  <si>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</si>
  <si>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</si>
  <si>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</si>
  <si>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</si>
  <si>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</si>
  <si>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</si>
  <si>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</si>
  <si>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</si>
  <si>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</si>
  <si>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</si>
  <si>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</si>
  <si>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</si>
  <si>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</si>
  <si>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</si>
  <si>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</si>
  <si>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</si>
  <si>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</si>
  <si>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</si>
  <si>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</si>
  <si>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</si>
  <si>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</si>
  <si>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</si>
  <si>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</si>
  <si>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</si>
  <si>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</si>
  <si>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</si>
  <si>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</si>
  <si>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</si>
  <si>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</si>
  <si>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</si>
  <si>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</si>
  <si>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</si>
  <si>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</si>
  <si>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</si>
  <si>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</si>
  <si>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</si>
  <si>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</si>
  <si>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</si>
  <si>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</si>
  <si>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</si>
  <si>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</si>
  <si>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</si>
  <si>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</si>
  <si>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</si>
  <si>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</si>
  <si>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</si>
  <si>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</si>
  <si>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</si>
  <si>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</si>
  <si>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</si>
  <si>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</si>
  <si>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</si>
  <si>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</si>
  <si>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</si>
  <si>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</si>
  <si>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</si>
  <si>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</si>
  <si>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</si>
  <si>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</si>
  <si>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</si>
  <si>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</si>
  <si>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</si>
  <si>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</si>
  <si>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</si>
  <si>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</si>
  <si>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</si>
  <si>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</si>
  <si>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</si>
  <si>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</si>
  <si>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</si>
  <si>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</si>
  <si>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</si>
  <si>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</si>
  <si>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</si>
  <si>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</si>
  <si>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</si>
  <si>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</si>
  <si>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</si>
  <si>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</si>
  <si>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</si>
  <si>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</si>
  <si>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</si>
  <si>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</si>
  <si>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</si>
  <si>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</si>
  <si>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</si>
  <si>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</si>
  <si>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</si>
  <si>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</si>
  <si>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</si>
  <si>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</si>
  <si>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</si>
  <si>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</si>
  <si>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</si>
  <si>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</si>
  <si>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</si>
  <si>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</si>
  <si>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</si>
  <si>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</si>
  <si>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</si>
  <si>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</si>
  <si>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</si>
  <si>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</si>
  <si>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</si>
  <si>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</si>
  <si>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</si>
  <si>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</si>
  <si>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</si>
  <si>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</si>
  <si>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</si>
  <si>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</si>
  <si>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</si>
  <si>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</si>
  <si>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</si>
  <si>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</si>
  <si>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</si>
  <si>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</si>
  <si>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</si>
  <si>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</si>
  <si>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</si>
  <si>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</si>
  <si>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</si>
  <si>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</si>
  <si>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</si>
  <si>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</si>
  <si>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</si>
  <si>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</si>
  <si>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</si>
  <si>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</si>
  <si>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</si>
  <si>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</si>
  <si>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</si>
  <si>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</si>
  <si>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</si>
  <si>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</si>
  <si>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</si>
  <si>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</si>
  <si>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</si>
  <si>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</si>
  <si>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</si>
  <si>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</si>
  <si>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</si>
  <si>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</si>
  <si>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</si>
  <si>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</si>
  <si>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</si>
  <si>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</si>
  <si>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</si>
  <si>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</si>
  <si>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</si>
  <si>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</si>
  <si>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</si>
  <si>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</si>
  <si>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</si>
  <si>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</si>
  <si>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</si>
  <si>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</si>
  <si>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</si>
  <si>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</si>
  <si>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</si>
  <si>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</si>
  <si>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</si>
  <si>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</si>
  <si>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</si>
  <si>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</si>
  <si>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</si>
  <si>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</si>
  <si>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</si>
  <si>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</si>
  <si>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</si>
  <si>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</si>
  <si>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</si>
  <si>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</si>
  <si>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</si>
  <si>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</si>
  <si>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</si>
  <si>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</si>
  <si>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</si>
  <si>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</si>
  <si>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</si>
  <si>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</si>
  <si>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</si>
  <si>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</si>
  <si>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</si>
  <si>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</si>
  <si>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</si>
  <si>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</si>
  <si>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</si>
  <si>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</si>
  <si>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</si>
  <si>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</si>
  <si>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</si>
  <si>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</si>
  <si>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</si>
  <si>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</si>
  <si>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</si>
  <si>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</si>
  <si>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</si>
  <si>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</si>
  <si>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</si>
  <si>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</si>
  <si>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</si>
  <si>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</si>
  <si>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</si>
  <si>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</si>
  <si>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</si>
  <si>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</si>
  <si>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</si>
  <si>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</si>
  <si>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</si>
  <si>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</si>
  <si>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</si>
  <si>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</si>
  <si>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</si>
  <si>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</si>
  <si>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</si>
  <si>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</si>
  <si>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</si>
  <si>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</si>
  <si>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</si>
  <si>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</si>
  <si>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</si>
  <si>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</si>
  <si>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</si>
  <si>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</si>
  <si>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</si>
  <si>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</si>
  <si>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</si>
  <si>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</si>
  <si>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</si>
  <si>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</si>
  <si>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</si>
  <si>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</si>
  <si>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</si>
  <si>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</si>
  <si>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</si>
  <si>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</si>
  <si>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</si>
  <si>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</si>
  <si>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</si>
  <si>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</si>
  <si>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</si>
  <si>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</si>
  <si>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</si>
  <si>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</si>
  <si>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</si>
  <si>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</si>
  <si>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</si>
  <si>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</si>
  <si>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</si>
  <si>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</si>
  <si>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</si>
  <si>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</si>
  <si>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</si>
  <si>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</si>
  <si>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</si>
  <si>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</si>
  <si>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</si>
  <si>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</si>
  <si>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</si>
  <si>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</si>
  <si>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</si>
  <si>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</si>
  <si>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</si>
  <si>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</si>
  <si>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</si>
  <si>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</si>
  <si>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</si>
  <si>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</si>
  <si>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</si>
  <si>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</si>
  <si>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</si>
  <si>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</si>
  <si>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</si>
  <si>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</si>
  <si>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</si>
  <si>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</si>
  <si>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</si>
  <si>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</si>
  <si>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</si>
  <si>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</si>
  <si>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</si>
  <si>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</si>
  <si>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</si>
  <si>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</si>
  <si>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</si>
  <si>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</si>
  <si>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</si>
  <si>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</si>
  <si>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</si>
  <si>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</si>
  <si>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</si>
  <si>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</si>
  <si>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</si>
  <si>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</si>
  <si>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</si>
  <si>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</si>
  <si>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</si>
  <si>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</si>
  <si>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</si>
  <si>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</si>
  <si>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</si>
  <si>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</si>
  <si>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</si>
  <si>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</si>
  <si>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</si>
  <si>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</si>
  <si>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</si>
  <si>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</si>
  <si>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</si>
  <si>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</si>
  <si>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</si>
  <si>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</si>
  <si>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</si>
  <si>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</si>
  <si>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</si>
  <si>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</si>
  <si>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</si>
  <si>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</si>
  <si>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</si>
  <si>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</si>
  <si>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</si>
  <si>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</si>
  <si>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</si>
  <si>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</si>
  <si>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</si>
  <si>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</si>
  <si>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</si>
  <si>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</si>
  <si>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</si>
  <si>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</si>
  <si>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</si>
  <si>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</si>
  <si>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</si>
  <si>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</si>
  <si>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</si>
  <si>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</si>
  <si>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</si>
  <si>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</si>
  <si>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</si>
  <si>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</si>
  <si>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</si>
  <si>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</si>
  <si>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</si>
  <si>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</si>
  <si>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</si>
  <si>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</si>
  <si>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</si>
  <si>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</si>
  <si>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</si>
  <si>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</si>
  <si>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</si>
  <si>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</si>
  <si>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</si>
  <si>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</si>
  <si>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</si>
  <si>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</si>
  <si>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</si>
  <si>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</si>
  <si>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</si>
  <si>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</si>
  <si>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</si>
  <si>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</si>
  <si>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</si>
  <si>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</si>
  <si>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</si>
  <si>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</si>
  <si>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</si>
  <si>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</si>
  <si>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</si>
  <si>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</si>
  <si>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</si>
  <si>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</si>
  <si>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</si>
  <si>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</si>
  <si>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</si>
  <si>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</si>
  <si>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</si>
  <si>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</si>
  <si>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</si>
  <si>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</si>
  <si>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</si>
  <si>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</si>
  <si>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</si>
  <si>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</si>
  <si>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</si>
  <si>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</si>
  <si>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</si>
  <si>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</si>
  <si>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</si>
  <si>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</si>
  <si>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</si>
  <si>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</si>
  <si>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</si>
  <si>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</si>
  <si>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</si>
  <si>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</si>
  <si>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</si>
  <si>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</si>
  <si>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</si>
  <si>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</si>
  <si>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</si>
  <si>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</si>
  <si>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</si>
  <si>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</si>
  <si>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</si>
  <si>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</si>
  <si>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</si>
  <si>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</si>
  <si>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</si>
  <si>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</si>
  <si>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</si>
  <si>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</si>
  <si>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</si>
  <si>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</si>
  <si>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</si>
  <si>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</si>
  <si>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</si>
  <si>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</si>
  <si>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</si>
  <si>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</si>
  <si>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</si>
  <si>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</si>
  <si>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</si>
  <si>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</si>
  <si>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</si>
  <si>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</si>
  <si>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</si>
  <si>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</si>
  <si>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</si>
  <si>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</si>
  <si>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</si>
  <si>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</si>
  <si>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</si>
  <si>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</si>
  <si>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</si>
  <si>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</si>
  <si>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</si>
  <si>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</si>
  <si>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</si>
  <si>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</si>
  <si>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</si>
  <si>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</si>
  <si>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</si>
  <si>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</si>
  <si>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</si>
  <si>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</si>
  <si>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</si>
  <si>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</si>
  <si>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</si>
  <si>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</si>
  <si>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</si>
  <si>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</si>
  <si>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</si>
  <si>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</si>
  <si>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</si>
  <si>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</si>
  <si>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</si>
  <si>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</si>
  <si>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</si>
  <si>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</si>
  <si>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</si>
  <si>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</si>
  <si>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</si>
  <si>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</si>
  <si>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</si>
  <si>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</si>
  <si>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</si>
  <si>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</si>
  <si>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</si>
  <si>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</si>
  <si>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</si>
  <si>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</si>
  <si>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</si>
  <si>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</si>
  <si>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</si>
  <si>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</si>
  <si>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</si>
  <si>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</si>
  <si>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</si>
  <si>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</si>
  <si>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</si>
  <si>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</si>
  <si>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</si>
  <si>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</si>
  <si>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</si>
  <si>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</si>
  <si>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</si>
  <si>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</si>
  <si>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</si>
  <si>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</si>
  <si>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</si>
  <si>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</si>
  <si>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</si>
  <si>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</si>
  <si>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</si>
  <si>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</si>
  <si>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</si>
  <si>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</si>
  <si>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</si>
  <si>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</si>
  <si>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</si>
  <si>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</si>
  <si>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</si>
  <si>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</si>
  <si>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</si>
  <si>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</si>
  <si>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</si>
  <si>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</si>
  <si>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</si>
  <si>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</si>
  <si>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</si>
  <si>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</si>
  <si>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</si>
  <si>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</si>
  <si>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</si>
  <si>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</si>
  <si>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</si>
  <si>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</si>
  <si>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</si>
  <si>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</si>
  <si>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</si>
  <si>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</si>
  <si>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</si>
  <si>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</si>
  <si>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</si>
  <si>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</si>
  <si>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</si>
  <si>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</si>
  <si>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</si>
  <si>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</si>
  <si>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</si>
  <si>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</si>
  <si>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</si>
  <si>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</si>
  <si>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</si>
  <si>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</si>
  <si>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</si>
  <si>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</si>
  <si>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</si>
  <si>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</si>
  <si>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</si>
  <si>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</si>
  <si>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</si>
  <si>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</si>
  <si>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</si>
  <si>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</si>
  <si>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</si>
  <si>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</si>
  <si>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</si>
  <si>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</si>
  <si>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</si>
  <si>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</si>
  <si>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</si>
  <si>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</si>
  <si>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</si>
  <si>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</si>
  <si>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</si>
  <si>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</si>
  <si>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</si>
  <si>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</si>
  <si>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</si>
  <si>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</si>
  <si>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</si>
  <si>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</si>
  <si>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</si>
  <si>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</si>
  <si>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</si>
  <si>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</si>
  <si>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</si>
  <si>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</si>
  <si>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</si>
  <si>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</si>
  <si>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</si>
  <si>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</si>
  <si>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</si>
  <si>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</si>
  <si>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</si>
  <si>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</si>
  <si>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</si>
  <si>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</si>
  <si>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</si>
  <si>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</si>
  <si>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</si>
  <si>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</si>
  <si>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</si>
  <si>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</si>
  <si>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</si>
  <si>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</si>
  <si>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</si>
  <si>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</si>
  <si>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</si>
  <si>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</si>
  <si>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</si>
  <si>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</si>
  <si>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</si>
  <si>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</si>
  <si>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</si>
  <si>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</si>
  <si>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</si>
  <si>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</si>
  <si>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</si>
  <si>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</si>
  <si>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</si>
  <si>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</si>
  <si>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</si>
  <si>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</si>
  <si>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</si>
  <si>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</si>
  <si>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</si>
  <si>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</si>
  <si>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</si>
  <si>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</si>
  <si>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</si>
  <si>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</si>
  <si>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</si>
  <si>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</si>
  <si>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</si>
  <si>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</si>
  <si>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</si>
  <si>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</si>
  <si>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</si>
  <si>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</si>
  <si>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</si>
  <si>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</si>
  <si>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</si>
  <si>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</si>
  <si>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</si>
  <si>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</si>
  <si>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</si>
  <si>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</si>
  <si>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</si>
  <si>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</si>
  <si>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</si>
  <si>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</si>
  <si>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</si>
  <si>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</si>
  <si>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</si>
  <si>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</si>
  <si>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</si>
  <si>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</si>
  <si>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</si>
  <si>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</si>
  <si>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</si>
  <si>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</si>
  <si>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</si>
  <si>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</si>
  <si>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</si>
  <si>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</si>
  <si>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</si>
  <si>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</si>
  <si>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</si>
  <si>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</si>
  <si>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</si>
  <si>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</si>
  <si>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</si>
  <si>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</si>
  <si>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</si>
  <si>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</si>
  <si>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</si>
  <si>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</si>
  <si>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</si>
  <si>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</si>
  <si>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</si>
  <si>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</si>
  <si>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</si>
  <si>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</si>
  <si>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</si>
  <si>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</si>
  <si>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</si>
  <si>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</si>
  <si>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</si>
  <si>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</si>
  <si>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</si>
  <si>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</si>
  <si>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</si>
  <si>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</si>
  <si>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</si>
  <si>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</si>
  <si>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</si>
  <si>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</si>
  <si>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</si>
  <si>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</si>
  <si>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</si>
  <si>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</si>
  <si>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</si>
  <si>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</si>
  <si>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</si>
  <si>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</si>
  <si>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</si>
  <si>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</si>
  <si>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</si>
  <si>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</si>
  <si>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</si>
  <si>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</si>
  <si>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</si>
  <si>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</si>
  <si>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</si>
  <si>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</si>
  <si>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</si>
  <si>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</si>
  <si>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</si>
  <si>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</si>
  <si>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</si>
  <si>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</si>
  <si>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</si>
  <si>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</si>
  <si>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</si>
  <si>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</si>
  <si>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</si>
  <si>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</si>
  <si>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</si>
  <si>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</si>
  <si>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</si>
  <si>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</si>
  <si>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</si>
  <si>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</si>
  <si>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</si>
  <si>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</si>
  <si>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</si>
  <si>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</si>
  <si>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</si>
  <si>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</si>
  <si>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</si>
  <si>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</si>
  <si>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</si>
  <si>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</si>
  <si>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</si>
  <si>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</si>
  <si>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</si>
  <si>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</si>
  <si>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</si>
  <si>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</si>
  <si>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</si>
  <si>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</si>
  <si>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</si>
  <si>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</si>
  <si>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</si>
  <si>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</si>
  <si>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</si>
  <si>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</si>
  <si>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</si>
  <si>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</si>
  <si>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</si>
  <si>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</si>
  <si>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</si>
  <si>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</si>
  <si>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</si>
  <si>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</si>
  <si>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</si>
  <si>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</si>
  <si>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</si>
  <si>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</si>
  <si>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</si>
  <si>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</si>
  <si>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</si>
  <si>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</si>
  <si>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</si>
  <si>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</si>
  <si>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</si>
  <si>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</si>
  <si>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</si>
  <si>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</si>
  <si>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</si>
  <si>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</si>
  <si>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</si>
  <si>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</si>
  <si>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</si>
  <si>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</si>
  <si>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</si>
  <si>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</si>
  <si>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</si>
  <si>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</si>
  <si>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</si>
  <si>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</si>
  <si>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</si>
  <si>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</si>
  <si>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</si>
  <si>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</si>
  <si>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</si>
  <si>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</si>
  <si>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</si>
  <si>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</si>
  <si>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</si>
  <si>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</si>
  <si>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</si>
  <si>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</si>
  <si>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</si>
  <si>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</si>
  <si>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</si>
  <si>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</si>
  <si>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</si>
  <si>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</si>
  <si>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</si>
  <si>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</si>
  <si>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</si>
  <si>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</si>
  <si>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</si>
  <si>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</si>
  <si>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</si>
  <si>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</si>
  <si>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</si>
  <si>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</si>
  <si>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</si>
  <si>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</si>
  <si>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</si>
  <si>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</si>
  <si>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</si>
  <si>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</si>
  <si>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</si>
  <si>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</si>
  <si>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</si>
  <si>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</si>
  <si>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</si>
  <si>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</si>
  <si>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</si>
  <si>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</si>
  <si>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</si>
  <si>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</si>
  <si>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</si>
  <si>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</si>
  <si>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</si>
  <si>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</si>
  <si>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</si>
  <si>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</si>
  <si>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</si>
  <si>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</si>
  <si>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</si>
  <si>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</si>
  <si>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</si>
  <si>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</si>
  <si>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</si>
  <si>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</si>
  <si>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</si>
  <si>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</si>
  <si>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</si>
  <si>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</si>
  <si>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</si>
  <si>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</si>
  <si>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</si>
  <si>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</si>
  <si>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</si>
  <si>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</si>
  <si>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</si>
  <si>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</si>
  <si>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</si>
  <si>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</si>
  <si>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</si>
  <si>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</si>
  <si>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</si>
  <si>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</si>
  <si>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</si>
  <si>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</si>
  <si>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</si>
  <si>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</si>
  <si>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</si>
  <si>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</si>
  <si>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</si>
  <si>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</si>
  <si>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</si>
  <si>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</si>
  <si>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</si>
  <si>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</si>
  <si>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</si>
  <si>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</si>
  <si>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</si>
  <si>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</si>
  <si>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</si>
  <si>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</si>
  <si>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</si>
  <si>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</si>
  <si>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</si>
  <si>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</si>
  <si>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</si>
  <si>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</si>
  <si>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</si>
  <si>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</si>
  <si>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</si>
  <si>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</si>
  <si>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</si>
  <si>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</si>
  <si>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</si>
  <si>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</si>
  <si>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</si>
  <si>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</si>
  <si>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</si>
  <si>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</si>
  <si>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</si>
  <si>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</si>
  <si>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</si>
  <si>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</si>
  <si>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</si>
  <si>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</si>
  <si>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</si>
  <si>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</si>
  <si>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</si>
  <si>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</si>
  <si>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</si>
  <si>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</si>
  <si>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</si>
  <si>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</si>
  <si>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</si>
  <si>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</si>
  <si>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</si>
  <si>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</si>
  <si>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</si>
  <si>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</si>
  <si>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</si>
  <si>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</si>
  <si>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</si>
  <si>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</si>
  <si>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</si>
  <si>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</si>
  <si>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</si>
  <si>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</si>
  <si>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</si>
  <si>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</si>
  <si>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</si>
  <si>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</si>
  <si>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</si>
  <si>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</si>
  <si>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</si>
  <si>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</si>
  <si>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</si>
  <si>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</si>
  <si>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</si>
  <si>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</si>
  <si>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</si>
  <si>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</si>
  <si>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</si>
  <si>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</si>
  <si>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</si>
  <si>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</si>
  <si>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</si>
  <si>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</si>
  <si>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</si>
  <si>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</si>
  <si>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</si>
  <si>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</si>
  <si>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</si>
  <si>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</si>
  <si>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</si>
  <si>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</si>
  <si>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</si>
  <si>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</si>
  <si>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</si>
  <si>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</si>
  <si>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</si>
  <si>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</si>
  <si>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</si>
  <si>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</si>
  <si>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</si>
  <si>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</si>
  <si>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</si>
  <si>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</si>
  <si>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</si>
  <si>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</si>
  <si>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</si>
  <si>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</si>
  <si>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</si>
  <si>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</si>
  <si>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</si>
  <si>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</si>
  <si>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</si>
  <si>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</si>
  <si>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</si>
  <si>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</si>
  <si>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</si>
  <si>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</si>
  <si>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</si>
  <si>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</si>
  <si>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</si>
  <si>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</si>
  <si>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</si>
  <si>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</si>
  <si>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</si>
  <si>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</si>
  <si>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</si>
  <si>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</si>
  <si>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</si>
  <si>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</si>
  <si>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</si>
  <si>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</si>
  <si>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</si>
  <si>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</si>
  <si>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</si>
  <si>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</si>
  <si>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</si>
  <si>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</si>
  <si>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</si>
  <si>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</si>
  <si>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</si>
  <si>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</si>
  <si>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</si>
  <si>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</si>
  <si>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</si>
  <si>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</si>
  <si>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</si>
  <si>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</si>
  <si>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</si>
  <si>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</si>
  <si>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</si>
  <si>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</si>
  <si>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</si>
  <si>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</si>
  <si>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</si>
  <si>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</si>
  <si>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</si>
  <si>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</si>
  <si>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</si>
  <si>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</si>
  <si>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</si>
  <si>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</si>
  <si>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</si>
  <si>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</si>
  <si>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</si>
  <si>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</si>
  <si>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</si>
  <si>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</si>
  <si>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</si>
  <si>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</si>
  <si>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</si>
  <si>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</si>
  <si>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</si>
  <si>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</si>
  <si>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</si>
  <si>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</si>
  <si>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</si>
  <si>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</si>
  <si>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</si>
  <si>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</si>
  <si>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</si>
  <si>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</si>
  <si>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</si>
  <si>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</si>
  <si>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</si>
  <si>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</si>
  <si>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</si>
  <si>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</si>
  <si>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</si>
  <si>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</si>
  <si>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</si>
  <si>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</si>
  <si>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</si>
  <si>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</si>
  <si>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</si>
  <si>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</si>
  <si>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</si>
  <si>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</si>
  <si>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</si>
  <si>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</si>
  <si>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</si>
  <si>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</si>
  <si>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</si>
  <si>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</si>
  <si>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</si>
  <si>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</si>
  <si>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</si>
  <si>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</si>
  <si>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</si>
  <si>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</si>
  <si>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</si>
  <si>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</si>
  <si>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</si>
  <si>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</si>
  <si>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</si>
  <si>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</si>
  <si>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</si>
  <si>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</si>
  <si>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</si>
  <si>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</si>
  <si>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</si>
  <si>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</si>
  <si>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</si>
  <si>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</si>
  <si>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</si>
  <si>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</si>
  <si>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</si>
  <si>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</si>
  <si>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</si>
  <si>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</si>
  <si>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</si>
  <si>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</si>
  <si>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</si>
  <si>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</si>
  <si>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</si>
  <si>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</si>
  <si>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</si>
  <si>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</si>
  <si>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</si>
  <si>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</si>
  <si>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</si>
  <si>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</si>
  <si>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</si>
  <si>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</si>
  <si>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</si>
  <si>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</si>
  <si>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</si>
  <si>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</si>
  <si>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</si>
  <si>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</si>
  <si>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</si>
  <si>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</si>
  <si>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</si>
  <si>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</si>
  <si>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</si>
  <si>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</si>
  <si>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</si>
  <si>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</si>
  <si>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</si>
  <si>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</si>
  <si>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</si>
  <si>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</si>
  <si>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</si>
  <si>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</si>
  <si>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</si>
  <si>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</si>
  <si>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</si>
  <si>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</si>
  <si>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</si>
  <si>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</si>
  <si>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</si>
  <si>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</si>
  <si>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</si>
  <si>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</si>
  <si>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</si>
  <si>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</si>
  <si>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</si>
  <si>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</si>
  <si>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</si>
  <si>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</si>
  <si>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</si>
  <si>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</si>
  <si>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</si>
  <si>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</si>
  <si>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</si>
  <si>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</si>
  <si>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</si>
  <si>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</si>
  <si>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</si>
  <si>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</si>
  <si>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</si>
  <si>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</si>
  <si>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</si>
  <si>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</si>
  <si>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</si>
  <si>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</si>
  <si>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</si>
  <si>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</si>
  <si>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</si>
  <si>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</si>
  <si>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</si>
  <si>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</si>
  <si>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</si>
  <si>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</si>
  <si>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</si>
  <si>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</si>
  <si>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</si>
  <si>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</si>
  <si>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</si>
  <si>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</si>
  <si>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</si>
  <si>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</si>
  <si>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</si>
  <si>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</si>
  <si>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</si>
  <si>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</si>
  <si>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</si>
  <si>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</si>
  <si>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</si>
  <si>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</si>
  <si>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</si>
  <si>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</si>
  <si>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</si>
  <si>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</si>
  <si>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</si>
  <si>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</si>
  <si>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</si>
  <si>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</si>
  <si>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</si>
  <si>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</si>
  <si>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</si>
  <si>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</si>
  <si>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</si>
  <si>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</si>
  <si>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</si>
  <si>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</si>
  <si>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</si>
  <si>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</si>
  <si>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</si>
  <si>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</si>
  <si>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</si>
  <si>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</si>
  <si>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</si>
  <si>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</si>
  <si>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</si>
  <si>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</si>
  <si>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</si>
  <si>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</si>
  <si>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</si>
  <si>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</si>
  <si>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</si>
  <si>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</si>
  <si>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</si>
  <si>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</si>
  <si>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</si>
  <si>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</si>
  <si>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</si>
  <si>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</si>
  <si>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</si>
  <si>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</si>
  <si>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</si>
  <si>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</si>
  <si>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</si>
  <si>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</si>
  <si>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</si>
  <si>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</si>
  <si>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</si>
  <si>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</si>
  <si>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</si>
  <si>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</si>
  <si>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</si>
  <si>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</si>
  <si>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</si>
  <si>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</si>
  <si>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</si>
  <si>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</si>
  <si>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</si>
  <si>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</si>
  <si>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</si>
  <si>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</si>
  <si>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</si>
  <si>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</si>
  <si>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</si>
  <si>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</si>
  <si>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</si>
  <si>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</si>
  <si>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</si>
  <si>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</si>
  <si>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</si>
  <si>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</si>
  <si>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</si>
  <si>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</si>
  <si>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</si>
  <si>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</si>
  <si>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</si>
  <si>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</si>
  <si>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</si>
  <si>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</si>
  <si>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</si>
  <si>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</si>
  <si>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</si>
  <si>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</si>
  <si>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</si>
  <si>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</si>
  <si>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</si>
  <si>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</si>
  <si>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</si>
  <si>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</si>
  <si>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</si>
  <si>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</si>
  <si>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</si>
  <si>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</si>
  <si>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</si>
  <si>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</si>
  <si>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</si>
  <si>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</si>
  <si>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</si>
  <si>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</si>
  <si>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</si>
  <si>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</si>
  <si>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</si>
  <si>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</si>
  <si>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</si>
  <si>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</si>
  <si>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</si>
  <si>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</si>
  <si>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</si>
  <si>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</si>
  <si>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</si>
  <si>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</si>
  <si>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</si>
  <si>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</si>
  <si>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</si>
  <si>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</si>
  <si>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</si>
  <si>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</si>
  <si>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</si>
  <si>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</si>
  <si>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</si>
  <si>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</si>
  <si>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</si>
  <si>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</si>
  <si>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</si>
  <si>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</si>
  <si>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</si>
  <si>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</si>
  <si>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</si>
  <si>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</si>
  <si>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</si>
  <si>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</si>
  <si>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</si>
  <si>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</si>
  <si>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</si>
  <si>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</si>
  <si>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</si>
  <si>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</si>
  <si>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</si>
  <si>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</si>
  <si>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</si>
  <si>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</si>
  <si>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</si>
  <si>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</si>
  <si>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</si>
  <si>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</si>
  <si>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</si>
  <si>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</si>
  <si>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</si>
  <si>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</si>
  <si>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</si>
  <si>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</si>
  <si>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</si>
  <si>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</si>
  <si>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</si>
  <si>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</si>
  <si>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</si>
  <si>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</si>
  <si>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</si>
  <si>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</si>
  <si>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</si>
  <si>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</si>
  <si>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</si>
  <si>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</si>
  <si>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</si>
  <si>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</si>
  <si>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</si>
  <si>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</si>
  <si>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</si>
  <si>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</si>
  <si>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</si>
  <si>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</si>
  <si>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</si>
  <si>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</si>
  <si>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</si>
  <si>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</si>
  <si>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</si>
  <si>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</si>
  <si>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</si>
  <si>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</si>
  <si>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</si>
  <si>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</si>
  <si>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</si>
  <si>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</si>
  <si>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</si>
  <si>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</si>
  <si>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</si>
  <si>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</si>
  <si>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</si>
  <si>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</si>
  <si>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</si>
  <si>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</si>
  <si>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</si>
  <si>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</si>
  <si>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</si>
  <si>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</si>
  <si>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</si>
  <si>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</si>
  <si>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</si>
  <si>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</si>
  <si>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</si>
  <si>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</si>
  <si>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</si>
  <si>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</si>
  <si>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</si>
  <si>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</si>
  <si>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</si>
  <si>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</si>
  <si>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</si>
  <si>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</si>
  <si>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</si>
  <si>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</si>
  <si>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</si>
  <si>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</si>
  <si>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</si>
  <si>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</si>
  <si>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</si>
  <si>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</si>
  <si>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</si>
  <si>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</si>
  <si>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</si>
  <si>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</si>
  <si>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</si>
  <si>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</si>
  <si>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</si>
  <si>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</si>
  <si>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</si>
  <si>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</si>
  <si>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</si>
  <si>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</si>
  <si>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</si>
  <si>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</si>
  <si>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</si>
  <si>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</si>
  <si>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</si>
  <si>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</si>
  <si>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</si>
  <si>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</si>
  <si>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</si>
  <si>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</si>
  <si>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</si>
  <si>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</si>
  <si>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</si>
  <si>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</si>
  <si>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</si>
  <si>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</si>
  <si>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</si>
  <si>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</si>
  <si>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</si>
  <si>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</si>
  <si>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</si>
  <si>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</si>
  <si>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</si>
  <si>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</si>
  <si>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</si>
  <si>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</si>
  <si>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</si>
  <si>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</si>
  <si>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</si>
  <si>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</si>
  <si>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</si>
  <si>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</si>
  <si>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</si>
  <si>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</si>
  <si>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</si>
  <si>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</si>
  <si>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</si>
  <si>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</si>
  <si>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</si>
  <si>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</si>
  <si>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</si>
  <si>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</si>
  <si>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</si>
  <si>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</si>
  <si>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</si>
  <si>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</si>
  <si>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</si>
  <si>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</si>
  <si>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</si>
  <si>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</si>
  <si>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</si>
  <si>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</si>
  <si>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</si>
  <si>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</si>
  <si>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</si>
  <si>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</si>
  <si>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</si>
  <si>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</si>
  <si>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</si>
  <si>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</si>
  <si>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</si>
  <si>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</si>
  <si>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</si>
  <si>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</si>
  <si>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</si>
  <si>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</si>
  <si>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</si>
  <si>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</si>
  <si>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</si>
  <si>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</si>
  <si>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</si>
  <si>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</si>
  <si>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</si>
  <si>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</si>
  <si>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</si>
  <si>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</si>
  <si>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</si>
  <si>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</si>
  <si>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</si>
  <si>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</si>
  <si>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</si>
  <si>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</si>
  <si>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</si>
  <si>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</si>
  <si>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</si>
  <si>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</si>
  <si>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</si>
  <si>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</si>
  <si>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</si>
  <si>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</si>
  <si>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</si>
  <si>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</si>
  <si>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</si>
  <si>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</si>
  <si>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</si>
  <si>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</si>
  <si>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</si>
  <si>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</si>
  <si>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</si>
  <si>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</si>
  <si>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</si>
  <si>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</si>
  <si>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</si>
  <si>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</si>
  <si>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</si>
  <si>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</si>
  <si>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</si>
  <si>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</si>
  <si>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</si>
  <si>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</si>
  <si>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</si>
  <si>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</si>
  <si>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</si>
  <si>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</si>
  <si>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</si>
  <si>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</si>
  <si>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</si>
  <si>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</si>
  <si>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</si>
  <si>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</si>
  <si>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</si>
  <si>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</si>
  <si>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</si>
  <si>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</si>
  <si>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</si>
  <si>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</si>
  <si>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</si>
  <si>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</si>
  <si>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</si>
  <si>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</si>
  <si>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</si>
  <si>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</si>
  <si>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</si>
  <si>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</si>
  <si>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</si>
  <si>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</si>
  <si>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</si>
  <si>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</si>
  <si>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</si>
  <si>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</si>
  <si>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</si>
  <si>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</si>
  <si>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</si>
  <si>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</si>
  <si>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</si>
  <si>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</si>
  <si>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</si>
  <si>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</si>
  <si>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</si>
  <si>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</si>
  <si>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</si>
  <si>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</si>
  <si>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</si>
  <si>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</si>
  <si>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</si>
  <si>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</si>
  <si>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</si>
  <si>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</si>
  <si>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</si>
  <si>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</si>
  <si>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</si>
  <si>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</si>
  <si>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</si>
  <si>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</si>
  <si>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</si>
  <si>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</si>
  <si>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</si>
  <si>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</si>
  <si>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</si>
  <si>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</si>
  <si>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</si>
  <si>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</si>
  <si>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</si>
  <si>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</si>
  <si>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</si>
  <si>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</si>
  <si>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</si>
  <si>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</si>
  <si>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</si>
  <si>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</si>
  <si>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</si>
  <si>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</si>
  <si>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</si>
  <si>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</si>
  <si>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</si>
  <si>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</si>
  <si>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</si>
  <si>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</si>
  <si>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</si>
  <si>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</si>
  <si>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</si>
  <si>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</si>
  <si>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</si>
  <si>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</si>
  <si>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</si>
  <si>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</si>
  <si>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</si>
  <si>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</si>
  <si>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</si>
  <si>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</si>
  <si>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</si>
  <si>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</si>
  <si>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</si>
  <si>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</si>
  <si>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</si>
  <si>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</si>
  <si>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</si>
  <si>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</si>
  <si>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</si>
  <si>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</si>
  <si>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</si>
  <si>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</si>
  <si>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</si>
  <si>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</si>
  <si>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</si>
  <si>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</si>
  <si>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</si>
  <si>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</si>
  <si>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</si>
  <si>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</si>
  <si>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</si>
  <si>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</si>
  <si>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</si>
  <si>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</si>
  <si>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</si>
  <si>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</si>
  <si>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</si>
  <si>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</si>
  <si>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</si>
  <si>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</si>
  <si>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</si>
  <si>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</si>
  <si>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</si>
  <si>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</si>
  <si>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</si>
  <si>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</si>
  <si>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</si>
  <si>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</si>
  <si>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</si>
  <si>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</si>
  <si>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</si>
  <si>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</si>
  <si>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</si>
  <si>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</si>
  <si>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</si>
  <si>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</si>
  <si>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</si>
  <si>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</si>
  <si>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</si>
  <si>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</si>
  <si>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</si>
  <si>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</si>
  <si>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</si>
  <si>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</si>
  <si>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</si>
  <si>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</si>
  <si>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</si>
  <si>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</si>
  <si>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</si>
  <si>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</si>
  <si>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</si>
  <si>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</si>
  <si>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</si>
  <si>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</si>
  <si>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</si>
  <si>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</si>
  <si>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</si>
  <si>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</si>
  <si>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</si>
  <si>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</si>
  <si>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</si>
  <si>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</si>
  <si>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</si>
  <si>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</si>
  <si>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</si>
  <si>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</si>
  <si>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</si>
  <si>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</si>
  <si>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</si>
  <si>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</si>
  <si>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</si>
  <si>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</si>
  <si>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</si>
  <si>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</si>
  <si>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</si>
  <si>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</si>
  <si>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</si>
  <si>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</si>
  <si>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</si>
  <si>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</si>
  <si>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</si>
  <si>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</si>
  <si>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</si>
  <si>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</si>
  <si>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</si>
  <si>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</si>
  <si>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</si>
  <si>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</si>
  <si>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</si>
  <si>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</si>
  <si>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</si>
  <si>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</si>
  <si>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</si>
  <si>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</si>
  <si>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</si>
  <si>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</si>
  <si>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</si>
  <si>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</si>
  <si>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</si>
  <si>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</si>
  <si>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</si>
  <si>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</si>
  <si>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</si>
  <si>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</si>
  <si>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</si>
  <si>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</si>
  <si>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</si>
  <si>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</si>
  <si>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</si>
  <si>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</si>
  <si>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</si>
  <si>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</si>
  <si>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</si>
  <si>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</si>
  <si>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</si>
  <si>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</si>
  <si>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</si>
  <si>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</si>
  <si>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</si>
  <si>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</si>
  <si>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</si>
  <si>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</si>
  <si>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</si>
  <si>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</si>
  <si>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</si>
  <si>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</si>
  <si>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</si>
  <si>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</si>
  <si>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</si>
  <si>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</si>
  <si>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</si>
  <si>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</si>
  <si>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</si>
  <si>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</si>
  <si>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</si>
  <si>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</si>
  <si>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</si>
  <si>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</si>
  <si>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</si>
  <si>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</si>
  <si>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</si>
  <si>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</si>
  <si>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</si>
  <si>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</si>
  <si>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</si>
  <si>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</si>
  <si>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</si>
  <si>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</si>
  <si>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</si>
  <si>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</si>
  <si>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</si>
  <si>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</si>
  <si>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</si>
  <si>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</si>
  <si>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</si>
  <si>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</si>
  <si>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</si>
  <si>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</si>
  <si>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</si>
  <si>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</si>
  <si>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</si>
  <si>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</si>
  <si>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</si>
  <si>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</si>
  <si>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</si>
  <si>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</si>
  <si>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</si>
  <si>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</si>
  <si>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</si>
  <si>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</si>
  <si>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</si>
  <si>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</si>
  <si>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</si>
  <si>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</si>
  <si>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</si>
  <si>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</si>
  <si>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</si>
  <si>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</si>
  <si>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</si>
  <si>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</si>
  <si>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</si>
  <si>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</si>
  <si>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</si>
  <si>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</si>
  <si>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</si>
  <si>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</si>
  <si>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</si>
  <si>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</si>
  <si>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</si>
  <si>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</si>
  <si>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</si>
  <si>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</si>
  <si>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</si>
  <si>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</si>
  <si>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</si>
  <si>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</si>
  <si>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</si>
  <si>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</si>
  <si>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</si>
  <si>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</si>
  <si>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</si>
  <si>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</si>
  <si>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</si>
  <si>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</si>
  <si>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</si>
  <si>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</si>
  <si>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</si>
  <si>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</si>
  <si>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</si>
  <si>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</si>
  <si>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</si>
  <si>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</si>
  <si>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</si>
  <si>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</si>
  <si>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</si>
  <si>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</si>
  <si>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</si>
  <si>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</si>
  <si>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</si>
  <si>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</si>
  <si>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</si>
  <si>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</si>
  <si>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</si>
  <si>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</si>
  <si>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</si>
  <si>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</si>
  <si>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</si>
  <si>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</si>
  <si>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</si>
  <si>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</si>
  <si>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</si>
  <si>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</si>
  <si>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</si>
  <si>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</si>
  <si>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</si>
  <si>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</si>
  <si>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</si>
  <si>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</si>
  <si>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</si>
  <si>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</si>
  <si>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</si>
  <si>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</si>
  <si>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</si>
  <si>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</si>
  <si>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</si>
  <si>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</si>
  <si>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</si>
  <si>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</si>
  <si>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</si>
  <si>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</si>
  <si>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</si>
  <si>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</si>
  <si>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</si>
  <si>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</si>
  <si>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</si>
  <si>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</si>
  <si>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</si>
  <si>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</si>
  <si>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</si>
  <si>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</si>
  <si>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</si>
  <si>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</si>
  <si>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</si>
  <si>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</si>
  <si>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</si>
  <si>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</si>
  <si>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</si>
  <si>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</si>
  <si>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</si>
  <si>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</si>
  <si>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</si>
  <si>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</si>
  <si>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</si>
  <si>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</si>
  <si>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</si>
  <si>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</si>
  <si>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</si>
  <si>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</si>
  <si>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</si>
  <si>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</si>
  <si>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</si>
  <si>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</si>
  <si>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</si>
  <si>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</si>
  <si>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</si>
  <si>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</si>
  <si>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</si>
  <si>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</si>
  <si>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</si>
  <si>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</si>
  <si>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</si>
  <si>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</si>
  <si>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</si>
  <si>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</si>
  <si>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</si>
  <si>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</si>
  <si>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</si>
  <si>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</si>
  <si>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</si>
  <si>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</si>
  <si>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</si>
  <si>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</si>
  <si>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</si>
  <si>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</si>
  <si>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</si>
  <si>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</si>
  <si>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</si>
  <si>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</si>
  <si>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</si>
  <si>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</si>
  <si>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</si>
  <si>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</si>
  <si>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</si>
  <si>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</si>
  <si>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</si>
  <si>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</si>
  <si>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</si>
  <si>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</si>
  <si>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</si>
  <si>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</si>
  <si>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</si>
  <si>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</si>
  <si>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</si>
  <si>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</si>
  <si>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</si>
  <si>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</si>
  <si>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</si>
  <si>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</si>
  <si>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</si>
  <si>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</si>
  <si>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</si>
  <si>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</si>
  <si>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</si>
  <si>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</si>
  <si>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</si>
  <si>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</si>
  <si>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</si>
  <si>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</si>
  <si>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</si>
  <si>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</si>
  <si>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</si>
  <si>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</si>
  <si>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</si>
  <si>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</si>
  <si>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</si>
  <si>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</si>
  <si>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</si>
  <si>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</si>
  <si>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</si>
  <si>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</si>
  <si>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</si>
  <si>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</si>
  <si>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</si>
  <si>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</si>
  <si>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</si>
  <si>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</si>
  <si>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</si>
  <si>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</si>
  <si>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</si>
  <si>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</si>
  <si>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</si>
  <si>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</si>
  <si>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</si>
  <si>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</si>
  <si>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</si>
  <si>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</si>
  <si>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</si>
  <si>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</si>
  <si>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</si>
  <si>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</si>
  <si>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</si>
  <si>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</si>
  <si>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</si>
  <si>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</si>
  <si>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</si>
  <si>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</si>
  <si>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</si>
  <si>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</si>
  <si>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</si>
  <si>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</si>
  <si>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</si>
  <si>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</si>
  <si>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</si>
  <si>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</si>
  <si>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</si>
  <si>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</si>
  <si>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</si>
  <si>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</si>
  <si>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</si>
  <si>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</si>
  <si>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</si>
  <si>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</si>
  <si>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</si>
  <si>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</si>
  <si>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</si>
  <si>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</si>
  <si>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</si>
  <si>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</si>
  <si>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</si>
  <si>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</si>
  <si>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</si>
  <si>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</si>
  <si>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</si>
  <si>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</si>
  <si>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</si>
  <si>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</si>
  <si>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</si>
  <si>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</si>
  <si>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</si>
  <si>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</si>
  <si>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</si>
  <si>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</si>
  <si>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</si>
  <si>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</si>
  <si>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</si>
  <si>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</si>
  <si>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</si>
  <si>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</si>
  <si>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</si>
  <si>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</si>
  <si>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</si>
  <si>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</si>
  <si>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</si>
  <si>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</si>
  <si>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</si>
  <si>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</si>
  <si>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</si>
  <si>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</si>
  <si>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</si>
  <si>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</si>
  <si>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</si>
  <si>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</si>
  <si>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</si>
  <si>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</si>
  <si>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</si>
  <si>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</si>
  <si>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</si>
  <si>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</si>
  <si>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</si>
  <si>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</si>
  <si>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</si>
  <si>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</si>
  <si>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</si>
  <si>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</si>
  <si>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</si>
  <si>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</si>
  <si>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</si>
  <si>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</si>
  <si>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</si>
  <si>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</si>
  <si>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</si>
  <si>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</si>
  <si>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</si>
  <si>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</si>
  <si>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</si>
  <si>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</si>
  <si>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</si>
  <si>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</si>
  <si>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</si>
  <si>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</si>
  <si>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</si>
  <si>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</si>
  <si>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</si>
  <si>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</si>
  <si>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</si>
  <si>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</si>
  <si>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</si>
  <si>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</si>
  <si>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</si>
  <si>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</si>
  <si>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</si>
  <si>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</si>
  <si>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</si>
  <si>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</si>
  <si>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</si>
  <si>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</si>
  <si>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</si>
  <si>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</si>
  <si>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</si>
  <si>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</si>
  <si>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</si>
  <si>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</si>
  <si>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</si>
  <si>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</si>
  <si>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</si>
  <si>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</si>
  <si>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</si>
  <si>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</si>
  <si>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</si>
  <si>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</si>
  <si>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</si>
  <si>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</si>
  <si>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</si>
  <si>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</si>
  <si>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</si>
  <si>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</si>
  <si>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</si>
  <si>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</si>
  <si>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</si>
  <si>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</si>
  <si>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</si>
  <si>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</si>
  <si>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</si>
  <si>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</si>
  <si>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</si>
  <si>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</si>
  <si>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</si>
  <si>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</si>
  <si>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</si>
  <si>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</si>
  <si>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</si>
  <si>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</si>
  <si>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</si>
  <si>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</si>
  <si>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</si>
  <si>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</si>
  <si>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</si>
  <si>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</si>
  <si>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</si>
  <si>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</si>
  <si>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</si>
  <si>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</si>
  <si>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</si>
  <si>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</si>
  <si>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</si>
  <si>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</si>
  <si>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</si>
  <si>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</si>
  <si>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</si>
  <si>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</si>
  <si>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</si>
  <si>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</si>
  <si>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</si>
  <si>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</si>
  <si>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</si>
  <si>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</si>
  <si>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</si>
  <si>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</si>
  <si>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</si>
  <si>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</si>
  <si>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</si>
  <si>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</si>
  <si>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</si>
  <si>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</si>
  <si>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</si>
  <si>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</si>
  <si>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</si>
  <si>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</si>
  <si>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</si>
  <si>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</si>
  <si>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</si>
  <si>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</si>
  <si>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</si>
  <si>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</si>
  <si>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</si>
  <si>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</si>
  <si>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</si>
  <si>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</si>
  <si>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</si>
  <si>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</si>
  <si>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</si>
  <si>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</si>
  <si>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</si>
  <si>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</si>
  <si>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</si>
  <si>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</si>
  <si>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</si>
  <si>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</si>
  <si>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</si>
  <si>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</si>
  <si>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</si>
  <si>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</si>
  <si>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</si>
  <si>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</si>
  <si>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</si>
  <si>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</si>
  <si>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</si>
  <si>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</si>
  <si>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</si>
  <si>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</si>
  <si>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</si>
  <si>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</si>
  <si>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</si>
  <si>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</si>
  <si>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</si>
  <si>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</si>
  <si>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</si>
  <si>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</si>
  <si>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</si>
  <si>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</si>
  <si>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</si>
  <si>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</si>
  <si>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</si>
  <si>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</si>
  <si>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</si>
  <si>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</si>
  <si>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</si>
  <si>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</si>
  <si>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</si>
  <si>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</si>
  <si>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</si>
  <si>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</si>
  <si>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</si>
  <si>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</si>
  <si>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</si>
  <si>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</si>
  <si>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</si>
  <si>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</si>
  <si>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</si>
  <si>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</si>
  <si>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</si>
  <si>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</si>
  <si>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</si>
  <si>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</si>
  <si>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</si>
  <si>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</si>
  <si>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</si>
  <si>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</si>
  <si>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</si>
  <si>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</si>
  <si>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</si>
  <si>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</si>
  <si>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</si>
  <si>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</si>
  <si>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</si>
  <si>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</si>
  <si>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</si>
  <si>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</si>
  <si>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</si>
  <si>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</si>
  <si>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</si>
  <si>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</si>
  <si>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</si>
  <si>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</si>
  <si>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</si>
  <si>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</si>
  <si>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</si>
  <si>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</si>
  <si>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</si>
  <si>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</si>
  <si>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</si>
  <si>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</si>
  <si>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</si>
  <si>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</si>
  <si>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</si>
  <si>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</si>
  <si>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</si>
  <si>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</si>
  <si>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</si>
  <si>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</si>
  <si>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</si>
  <si>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</si>
  <si>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</si>
  <si>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</si>
  <si>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</si>
  <si>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</si>
  <si>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</si>
  <si>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</si>
  <si>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</si>
  <si>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</si>
  <si>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</si>
  <si>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</si>
  <si>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</si>
  <si>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</si>
  <si>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</si>
  <si>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</si>
  <si>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</si>
  <si>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</si>
  <si>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</si>
  <si>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</si>
  <si>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</si>
  <si>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</si>
  <si>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</si>
  <si>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</si>
  <si>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</si>
  <si>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</si>
  <si>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</si>
  <si>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</si>
  <si>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</si>
  <si>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</si>
  <si>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</si>
  <si>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</si>
  <si>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</si>
  <si>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</si>
  <si>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</si>
  <si>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</si>
  <si>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</si>
  <si>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</si>
  <si>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</si>
  <si>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</si>
  <si>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</si>
  <si>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</si>
  <si>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</si>
  <si>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</si>
  <si>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</si>
  <si>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</si>
  <si>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</si>
  <si>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</si>
  <si>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</si>
  <si>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</si>
  <si>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</si>
  <si>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</si>
  <si>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</si>
  <si>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</si>
  <si>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</si>
  <si>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</si>
  <si>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</si>
  <si>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</si>
  <si>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</si>
  <si>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</si>
  <si>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</si>
  <si>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</si>
  <si>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</si>
  <si>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</si>
  <si>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</si>
  <si>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</si>
  <si>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</si>
  <si>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</si>
  <si>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</si>
  <si>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</si>
  <si>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</si>
  <si>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</si>
  <si>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</si>
  <si>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</si>
  <si>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</si>
  <si>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</si>
  <si>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</si>
  <si>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</si>
  <si>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</si>
  <si>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</si>
  <si>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</si>
  <si>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</si>
  <si>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</si>
  <si>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</si>
  <si>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</si>
  <si>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</si>
  <si>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</si>
  <si>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</si>
  <si>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</si>
  <si>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</si>
  <si>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</si>
  <si>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</si>
  <si>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</si>
  <si>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</si>
  <si>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</si>
  <si>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</si>
  <si>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</si>
  <si>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</si>
  <si>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</si>
  <si>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</si>
  <si>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</si>
  <si>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</si>
  <si>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</si>
  <si>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</si>
  <si>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</si>
  <si>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</si>
  <si>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</si>
  <si>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</si>
  <si>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</si>
  <si>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</si>
  <si>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</si>
  <si>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</si>
  <si>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</si>
  <si>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</si>
  <si>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</si>
  <si>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</si>
  <si>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</si>
  <si>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</si>
  <si>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</si>
  <si>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</si>
  <si>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</si>
  <si>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</si>
  <si>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</si>
  <si>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</si>
  <si>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</si>
  <si>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</si>
  <si>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</si>
  <si>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</si>
  <si>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</si>
  <si>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</si>
  <si>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</si>
  <si>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</si>
  <si>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</si>
  <si>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</si>
  <si>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</si>
  <si>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</si>
  <si>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</si>
  <si>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</si>
  <si>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</si>
  <si>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</si>
  <si>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</si>
  <si>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</si>
  <si>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</si>
  <si>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</si>
  <si>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</si>
  <si>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</si>
  <si>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</si>
  <si>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</si>
  <si>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</si>
  <si>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</si>
  <si>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</si>
  <si>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</si>
  <si>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</si>
  <si>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</si>
  <si>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</si>
  <si>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</si>
  <si>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</si>
  <si>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</si>
  <si>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</si>
  <si>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</si>
  <si>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</si>
  <si>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</si>
  <si>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</si>
  <si>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</si>
  <si>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</si>
  <si>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</si>
  <si>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</si>
  <si>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</si>
  <si>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</si>
  <si>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</si>
  <si>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</si>
  <si>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</si>
  <si>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</si>
  <si>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</si>
  <si>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</si>
  <si>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</si>
  <si>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</si>
  <si>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</si>
  <si>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</si>
  <si>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</si>
  <si>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</si>
  <si>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</si>
  <si>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</si>
  <si>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</si>
  <si>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</si>
  <si>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</si>
  <si>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</si>
  <si>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</si>
  <si>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</si>
  <si>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</si>
  <si>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</si>
  <si>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</si>
  <si>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</si>
  <si>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</si>
  <si>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</si>
  <si>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</si>
  <si>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</si>
  <si>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</si>
  <si>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</si>
  <si>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</si>
  <si>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</si>
  <si>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</si>
  <si>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</si>
  <si>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</si>
  <si>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</si>
  <si>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</si>
  <si>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</si>
  <si>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</si>
  <si>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</si>
  <si>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</si>
  <si>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</si>
  <si>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</si>
  <si>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</si>
  <si>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</si>
  <si>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</si>
  <si>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</si>
  <si>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</si>
  <si>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</si>
  <si>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</si>
  <si>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</si>
  <si>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</si>
  <si>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</si>
  <si>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</si>
  <si>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</si>
  <si>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</si>
  <si>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</si>
  <si>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</si>
  <si>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</si>
  <si>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</si>
  <si>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</si>
  <si>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</si>
  <si>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</si>
  <si>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</si>
  <si>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</si>
  <si>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</si>
  <si>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</si>
  <si>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</si>
  <si>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</si>
  <si>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</si>
  <si>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</si>
  <si>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</si>
  <si>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</si>
  <si>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</si>
  <si>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</si>
  <si>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</si>
  <si>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</si>
  <si>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</si>
  <si>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</si>
  <si>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</si>
  <si>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</si>
  <si>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</si>
  <si>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</si>
  <si>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</si>
  <si>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</si>
  <si>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</si>
  <si>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</si>
  <si>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</si>
  <si>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</si>
  <si>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</si>
  <si>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</si>
  <si>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</si>
  <si>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</si>
  <si>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</si>
  <si>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</si>
  <si>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</si>
  <si>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</si>
  <si>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</si>
  <si>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</si>
  <si>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</si>
  <si>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</si>
  <si>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</si>
  <si>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</si>
  <si>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</si>
  <si>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</si>
  <si>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</si>
  <si>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</si>
  <si>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</si>
  <si>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</si>
  <si>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</si>
  <si>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</si>
  <si>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</si>
  <si>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</si>
  <si>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</si>
  <si>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</si>
  <si>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</si>
  <si>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</si>
  <si>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</si>
  <si>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</si>
  <si>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</si>
  <si>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</si>
  <si>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</si>
  <si>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</si>
  <si>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</si>
  <si>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</si>
  <si>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</si>
  <si>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</si>
  <si>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</si>
  <si>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</si>
  <si>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</si>
  <si>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</si>
  <si>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</si>
  <si>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</si>
  <si>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</si>
  <si>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</si>
  <si>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</si>
  <si>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</si>
  <si>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</si>
  <si>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</si>
  <si>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</si>
  <si>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</si>
  <si>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</si>
  <si>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</si>
  <si>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</si>
  <si>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</si>
  <si>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</si>
  <si>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</si>
  <si>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</si>
  <si>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</si>
  <si>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</si>
  <si>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</si>
  <si>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</si>
  <si>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</si>
  <si>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</si>
  <si>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</si>
  <si>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</si>
  <si>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</si>
  <si>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</si>
  <si>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</si>
  <si>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</si>
  <si>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</si>
  <si>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</si>
  <si>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</si>
  <si>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</si>
  <si>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</si>
  <si>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</si>
  <si>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</si>
  <si>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</si>
  <si>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</si>
  <si>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</si>
  <si>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</si>
  <si>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</si>
  <si>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</si>
  <si>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</si>
  <si>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</si>
  <si>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</si>
  <si>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</si>
  <si>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</si>
  <si>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</si>
  <si>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</si>
  <si>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</si>
  <si>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</si>
  <si>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</si>
  <si>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</si>
  <si>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</si>
  <si>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</si>
  <si>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</si>
  <si>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</si>
  <si>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</si>
  <si>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</si>
  <si>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</si>
  <si>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</si>
  <si>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</si>
  <si>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</si>
  <si>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</si>
  <si>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</si>
  <si>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</si>
  <si>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</si>
  <si>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</si>
  <si>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</si>
  <si>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</si>
  <si>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</si>
  <si>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</si>
  <si>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</si>
  <si>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</si>
  <si>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</si>
  <si>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</si>
  <si>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</si>
  <si>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</si>
  <si>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</si>
  <si>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</si>
  <si>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</si>
  <si>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</si>
  <si>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</si>
  <si>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</si>
  <si>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</si>
  <si>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</si>
  <si>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</si>
  <si>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</si>
  <si>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</si>
  <si>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</si>
  <si>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</si>
  <si>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</si>
  <si>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</si>
  <si>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</si>
  <si>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</si>
  <si>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</si>
  <si>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</si>
  <si>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</si>
  <si>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</si>
  <si>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</si>
  <si>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</si>
  <si>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</si>
  <si>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</si>
  <si>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</si>
  <si>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</si>
  <si>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</si>
  <si>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</si>
  <si>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</si>
  <si>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</si>
  <si>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</si>
  <si>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</si>
  <si>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</si>
  <si>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</si>
  <si>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</si>
  <si>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</si>
  <si>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</si>
  <si>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</si>
  <si>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</si>
  <si>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</si>
  <si>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</si>
  <si>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</si>
  <si>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</si>
  <si>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</si>
  <si>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</si>
  <si>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</si>
  <si>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</si>
  <si>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</si>
  <si>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</si>
  <si>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</si>
  <si>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</si>
  <si>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</si>
  <si>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</si>
  <si>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</si>
  <si>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</si>
  <si>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</si>
  <si>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</si>
  <si>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</si>
  <si>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</si>
  <si>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</si>
  <si>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</si>
  <si>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</si>
  <si>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</si>
  <si>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</si>
  <si>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</si>
  <si>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</si>
  <si>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</si>
  <si>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</si>
  <si>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</si>
  <si>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</si>
  <si>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</si>
  <si>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</si>
  <si>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</si>
  <si>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</si>
  <si>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</si>
  <si>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</si>
  <si>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</si>
  <si>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</si>
  <si>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</si>
  <si>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</si>
  <si>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</si>
  <si>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</si>
  <si>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</si>
  <si>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</si>
  <si>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</si>
  <si>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</si>
  <si>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</si>
  <si>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</si>
  <si>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</si>
  <si>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</si>
  <si>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</si>
  <si>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</si>
  <si>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</si>
  <si>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</si>
  <si>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</si>
  <si>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</si>
  <si>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</si>
  <si>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</si>
  <si>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</si>
  <si>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</si>
  <si>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</si>
  <si>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</si>
  <si>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</si>
  <si>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</si>
  <si>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</si>
  <si>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</si>
  <si>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</si>
  <si>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</si>
  <si>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</si>
  <si>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</si>
  <si>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</si>
  <si>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</si>
  <si>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</si>
  <si>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</si>
  <si>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</si>
  <si>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</si>
  <si>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</si>
  <si>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</si>
  <si>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</si>
  <si>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</si>
  <si>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</si>
  <si>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</si>
  <si>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</si>
  <si>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</si>
  <si>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</si>
  <si>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</si>
  <si>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</si>
  <si>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</si>
  <si>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</si>
  <si>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</si>
  <si>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</si>
  <si>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</si>
  <si>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</si>
  <si>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</si>
  <si>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</si>
  <si>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</si>
  <si>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</si>
  <si>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</si>
  <si>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</si>
  <si>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</si>
  <si>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</si>
  <si>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</si>
  <si>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</si>
  <si>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</si>
  <si>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</si>
  <si>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</si>
  <si>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</si>
  <si>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</si>
  <si>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</si>
  <si>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</si>
  <si>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</si>
  <si>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</si>
  <si>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</si>
  <si>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</si>
  <si>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</si>
  <si>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</si>
  <si>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</si>
  <si>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</si>
  <si>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</si>
  <si>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</si>
  <si>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</si>
  <si>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</si>
  <si>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</si>
  <si>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</si>
  <si>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</si>
  <si>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</si>
  <si>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</si>
  <si>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</si>
  <si>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</si>
  <si>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</si>
  <si>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</si>
  <si>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</si>
  <si>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</si>
  <si>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</si>
  <si>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</si>
  <si>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</si>
  <si>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</si>
  <si>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</si>
  <si>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</si>
  <si>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</si>
  <si>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</si>
  <si>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</si>
  <si>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</si>
  <si>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</si>
  <si>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</si>
  <si>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</si>
  <si>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</si>
  <si>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</si>
  <si>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</si>
  <si>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</si>
  <si>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</si>
  <si>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</si>
  <si>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</si>
  <si>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</si>
  <si>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</si>
  <si>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</si>
  <si>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</si>
  <si>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</si>
  <si>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</si>
  <si>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</si>
  <si>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</si>
  <si>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</si>
  <si>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</si>
  <si>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</si>
  <si>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</si>
  <si>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</si>
  <si>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</si>
  <si>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</si>
  <si>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</si>
  <si>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</si>
  <si>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</si>
  <si>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</si>
  <si>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</si>
  <si>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</si>
  <si>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</si>
  <si>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</si>
  <si>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</si>
  <si>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</si>
  <si>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</si>
  <si>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</si>
  <si>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</si>
  <si>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</si>
  <si>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</si>
  <si>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</si>
  <si>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</si>
  <si>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</si>
  <si>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</si>
  <si>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</si>
  <si>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</si>
  <si>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</si>
  <si>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</si>
  <si>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</si>
  <si>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</si>
  <si>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</si>
  <si>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</si>
  <si>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</si>
  <si>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</si>
  <si>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</si>
  <si>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</si>
  <si>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</si>
  <si>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</si>
  <si>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</si>
  <si>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</si>
  <si>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</si>
  <si>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</si>
  <si>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</si>
  <si>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</si>
  <si>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</si>
  <si>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</si>
  <si>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</si>
  <si>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</si>
  <si>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</si>
  <si>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</si>
  <si>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</si>
  <si>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</si>
  <si>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</si>
  <si>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</si>
  <si>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</si>
  <si>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</si>
  <si>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</si>
  <si>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</si>
  <si>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</si>
  <si>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</si>
  <si>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</si>
  <si>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</si>
  <si>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</si>
  <si>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</si>
  <si>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</si>
  <si>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</si>
  <si>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</si>
  <si>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</si>
  <si>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</si>
  <si>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</si>
  <si>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</si>
  <si>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</si>
  <si>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</si>
  <si>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</si>
  <si>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</si>
  <si>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</si>
  <si>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</si>
  <si>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</si>
  <si>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</si>
  <si>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</si>
  <si>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</si>
  <si>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</si>
  <si>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</si>
  <si>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</si>
  <si>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</si>
  <si>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</si>
  <si>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</si>
  <si>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</si>
  <si>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</si>
  <si>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</si>
  <si>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</si>
  <si>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</si>
  <si>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</si>
  <si>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</si>
  <si>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</si>
  <si>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</si>
  <si>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</si>
  <si>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</si>
  <si>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</si>
  <si>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</si>
  <si>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</si>
  <si>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</si>
  <si>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</si>
  <si>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</si>
  <si>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</si>
  <si>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</si>
  <si>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</si>
  <si>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</si>
  <si>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</si>
  <si>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</si>
  <si>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</si>
  <si>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</si>
  <si>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</si>
  <si>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</si>
  <si>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</si>
  <si>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</si>
  <si>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</si>
  <si>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</si>
  <si>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</si>
  <si>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</si>
  <si>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</si>
  <si>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</si>
  <si>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</si>
  <si>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</si>
  <si>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</si>
  <si>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</si>
  <si>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</si>
  <si>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</si>
  <si>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</si>
  <si>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</si>
  <si>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</si>
  <si>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</si>
  <si>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</si>
  <si>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</si>
  <si>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</si>
  <si>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</si>
  <si>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</si>
  <si>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</si>
  <si>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</si>
  <si>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</si>
  <si>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</si>
  <si>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</si>
  <si>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</si>
  <si>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</si>
  <si>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</si>
  <si>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</si>
  <si>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</si>
  <si>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</si>
  <si>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</si>
  <si>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</si>
  <si>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</si>
  <si>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</si>
  <si>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</si>
  <si>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</si>
  <si>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</si>
  <si>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</si>
  <si>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</si>
  <si>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</si>
  <si>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</si>
  <si>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</si>
  <si>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</si>
  <si>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</si>
  <si>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</si>
  <si>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</si>
  <si>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</si>
  <si>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</si>
  <si>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</si>
  <si>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</si>
  <si>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</si>
  <si>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</si>
  <si>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</si>
  <si>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</si>
  <si>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</si>
  <si>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</si>
  <si>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</si>
  <si>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</si>
  <si>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</si>
  <si>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</si>
  <si>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</si>
  <si>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</si>
  <si>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</si>
  <si>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</si>
  <si>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</si>
  <si>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</si>
  <si>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</si>
  <si>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</si>
  <si>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</si>
  <si>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</si>
  <si>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</si>
  <si>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</si>
  <si>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</si>
  <si>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</si>
  <si>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</si>
  <si>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</si>
  <si>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</si>
  <si>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</si>
  <si>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</si>
  <si>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</si>
  <si>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</si>
  <si>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</si>
  <si>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</si>
  <si>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</si>
  <si>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</si>
  <si>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</si>
  <si>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</si>
  <si>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</si>
  <si>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</si>
  <si>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</si>
  <si>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</si>
  <si>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</si>
  <si>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</si>
  <si>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</si>
  <si>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</si>
  <si>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</si>
  <si>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</si>
  <si>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</si>
  <si>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</si>
  <si>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</si>
  <si>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</si>
  <si>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</si>
  <si>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</si>
  <si>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</si>
  <si>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</si>
  <si>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</si>
  <si>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</si>
  <si>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</si>
  <si>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</si>
  <si>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</si>
  <si>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</si>
  <si>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</si>
  <si>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</si>
  <si>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</si>
  <si>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</si>
  <si>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</si>
  <si>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</si>
  <si>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</si>
  <si>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</si>
  <si>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</si>
  <si>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</si>
  <si>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</si>
  <si>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</si>
  <si>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</si>
  <si>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</si>
  <si>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</si>
  <si>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</si>
  <si>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</si>
  <si>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</si>
  <si>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</si>
  <si>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</si>
  <si>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</si>
  <si>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</si>
  <si>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</si>
  <si>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</si>
  <si>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</si>
  <si>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</si>
  <si>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</si>
  <si>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</si>
  <si>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</si>
  <si>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</si>
  <si>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</si>
  <si>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</si>
  <si>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</si>
  <si>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</si>
  <si>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</si>
  <si>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</si>
  <si>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</si>
  <si>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</si>
  <si>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</si>
  <si>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</si>
  <si>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</si>
  <si>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</si>
  <si>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</si>
  <si>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</si>
  <si>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</si>
  <si>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</si>
  <si>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</si>
  <si>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</si>
  <si>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</si>
  <si>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</si>
  <si>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</si>
  <si>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</si>
  <si>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</si>
  <si>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</si>
  <si>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</si>
  <si>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</si>
  <si>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</si>
  <si>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</si>
  <si>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</si>
  <si>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</si>
  <si>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</si>
  <si>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</si>
  <si>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</si>
  <si>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</si>
  <si>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</si>
  <si>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</si>
  <si>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</si>
  <si>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</si>
  <si>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</si>
  <si>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</si>
  <si>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</si>
  <si>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</si>
  <si>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</si>
  <si>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</si>
  <si>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</si>
  <si>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</si>
  <si>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</si>
  <si>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</si>
  <si>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</si>
  <si>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</si>
  <si>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</si>
  <si>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</si>
  <si>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</si>
  <si>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</si>
  <si>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</si>
  <si>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</si>
  <si>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</si>
  <si>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</si>
  <si>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</si>
  <si>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</si>
  <si>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</si>
  <si>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</si>
  <si>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</si>
  <si>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</si>
  <si>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</si>
  <si>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</si>
  <si>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</si>
  <si>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</si>
  <si>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</si>
  <si>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</si>
  <si>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</si>
  <si>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</si>
  <si>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</si>
  <si>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</si>
  <si>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</si>
  <si>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</si>
  <si>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</si>
  <si>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</si>
  <si>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</si>
  <si>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</si>
  <si>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</si>
  <si>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</si>
  <si>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</si>
  <si>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</si>
  <si>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</si>
  <si>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</si>
  <si>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</si>
  <si>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</si>
  <si>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</si>
  <si>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</si>
  <si>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</si>
  <si>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</si>
  <si>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</si>
  <si>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</si>
  <si>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</si>
  <si>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</si>
  <si>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</si>
  <si>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</si>
  <si>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</si>
  <si>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</si>
  <si>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</si>
  <si>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</si>
  <si>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</si>
  <si>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</si>
  <si>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</si>
  <si>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</si>
  <si>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</si>
  <si>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</si>
  <si>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</si>
  <si>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</si>
  <si>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</si>
  <si>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</si>
  <si>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</si>
  <si>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</si>
  <si>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</si>
  <si>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</si>
  <si>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</si>
  <si>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</si>
  <si>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</si>
  <si>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</si>
  <si>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</si>
  <si>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</si>
  <si>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</si>
  <si>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</si>
  <si>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</si>
  <si>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</si>
  <si>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</si>
  <si>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</si>
  <si>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</si>
  <si>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</si>
  <si>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</si>
  <si>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</si>
  <si>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</si>
  <si>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</si>
  <si>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</si>
  <si>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</si>
  <si>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</si>
  <si>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</si>
  <si>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</si>
  <si>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</si>
  <si>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</si>
  <si>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</si>
  <si>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</si>
  <si>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</si>
  <si>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</si>
  <si>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</si>
  <si>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</si>
  <si>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</si>
  <si>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</si>
  <si>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</si>
  <si>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</si>
  <si>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</si>
  <si>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</si>
  <si>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</si>
  <si>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</si>
  <si>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</si>
  <si>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</si>
  <si>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</si>
  <si>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</si>
  <si>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</si>
  <si>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</si>
  <si>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</si>
  <si>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</si>
  <si>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</si>
  <si>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</si>
  <si>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</si>
  <si>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</si>
  <si>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</si>
  <si>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</si>
  <si>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</si>
  <si>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</si>
  <si>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</si>
  <si>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</si>
  <si>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</si>
  <si>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</si>
  <si>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</si>
  <si>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</si>
  <si>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</si>
  <si>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</si>
  <si>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</si>
  <si>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</si>
  <si>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</si>
  <si>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</si>
  <si>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</si>
  <si>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</si>
  <si>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</si>
  <si>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</si>
  <si>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</si>
  <si>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</si>
  <si>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</si>
  <si>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</si>
  <si>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</si>
  <si>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</si>
  <si>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</si>
  <si>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</si>
  <si>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</si>
  <si>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</si>
  <si>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</si>
  <si>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</si>
  <si>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</si>
  <si>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</si>
  <si>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</si>
  <si>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</si>
  <si>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</si>
  <si>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</si>
  <si>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</si>
  <si>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</si>
  <si>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</si>
  <si>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</si>
  <si>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</si>
  <si>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</si>
  <si>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</si>
  <si>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</si>
  <si>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</si>
  <si>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</si>
  <si>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</si>
  <si>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</si>
  <si>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</si>
  <si>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</si>
  <si>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</si>
  <si>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</si>
  <si>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</si>
  <si>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</si>
  <si>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</si>
  <si>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</si>
  <si>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</si>
  <si>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</si>
  <si>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</si>
  <si>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</si>
  <si>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</si>
  <si>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</si>
  <si>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</si>
  <si>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</si>
  <si>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</si>
  <si>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</si>
  <si>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</si>
  <si>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</si>
  <si>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</si>
  <si>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</si>
  <si>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</si>
  <si>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</si>
  <si>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</si>
  <si>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</si>
  <si>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</si>
  <si>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</si>
  <si>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</si>
  <si>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</si>
  <si>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</si>
  <si>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</si>
  <si>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</si>
  <si>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</si>
  <si>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</si>
  <si>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</si>
  <si>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</si>
  <si>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</si>
  <si>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</si>
  <si>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</si>
  <si>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</si>
  <si>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</si>
  <si>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</si>
  <si>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</si>
  <si>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</si>
  <si>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</si>
  <si>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</si>
  <si>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</si>
  <si>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</si>
  <si>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</si>
  <si>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</si>
  <si>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</si>
  <si>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</si>
  <si>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</si>
  <si>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</si>
  <si>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</si>
  <si>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</si>
  <si>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</si>
  <si>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</si>
  <si>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</si>
  <si>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</si>
  <si>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</si>
  <si>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</si>
  <si>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</si>
  <si>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</si>
  <si>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</si>
  <si>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</si>
  <si>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</si>
  <si>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</si>
  <si>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</si>
  <si>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</si>
  <si>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</si>
  <si>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</si>
  <si>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</si>
  <si>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</si>
  <si>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</si>
  <si>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</si>
  <si>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</si>
  <si>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</si>
  <si>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</si>
  <si>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</si>
  <si>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</si>
  <si>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</si>
  <si>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</si>
  <si>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</si>
  <si>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</si>
  <si>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</si>
  <si>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</si>
  <si>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</si>
  <si>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</si>
  <si>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</si>
  <si>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</si>
  <si>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</si>
  <si>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</si>
  <si>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</si>
  <si>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</si>
  <si>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</si>
  <si>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</si>
  <si>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</si>
  <si>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</si>
  <si>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</si>
  <si>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</si>
  <si>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</si>
  <si>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</si>
  <si>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</si>
  <si>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</si>
  <si>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</si>
  <si>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</si>
  <si>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</si>
  <si>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</si>
  <si>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</si>
  <si>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</si>
  <si>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</si>
  <si>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</si>
  <si>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</si>
  <si>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</si>
  <si>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</si>
  <si>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</si>
  <si>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</si>
  <si>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</si>
  <si>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</si>
  <si>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</si>
  <si>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</si>
  <si>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</si>
  <si>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</si>
  <si>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</si>
  <si>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</si>
  <si>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</si>
  <si>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</si>
  <si>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</si>
  <si>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</si>
  <si>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</si>
  <si>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</si>
  <si>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</si>
  <si>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</si>
  <si>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</si>
  <si>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</si>
  <si>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</si>
  <si>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</si>
  <si>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</si>
  <si>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</si>
  <si>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</si>
  <si>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</si>
  <si>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</si>
  <si>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</si>
  <si>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</si>
  <si>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</si>
  <si>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</si>
  <si>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</si>
  <si>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</si>
  <si>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</si>
  <si>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</si>
  <si>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</si>
  <si>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</si>
  <si>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</si>
  <si>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</si>
  <si>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</si>
  <si>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</si>
  <si>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</si>
  <si>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</si>
  <si>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</si>
  <si>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</si>
  <si>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</si>
  <si>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</si>
  <si>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</si>
  <si>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</si>
  <si>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</si>
  <si>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</si>
  <si>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</si>
  <si>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</si>
  <si>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</si>
  <si>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</si>
  <si>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</si>
  <si>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</si>
  <si>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</si>
  <si>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</si>
  <si>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</si>
  <si>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</si>
  <si>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</si>
  <si>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</si>
  <si>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</si>
  <si>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</si>
  <si>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</si>
  <si>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</si>
  <si>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</si>
  <si>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</si>
  <si>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</si>
  <si>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</si>
  <si>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</si>
  <si>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</si>
  <si>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</si>
  <si>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</si>
  <si>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</si>
  <si>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</si>
  <si>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</si>
  <si>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</si>
  <si>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</si>
  <si>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</si>
  <si>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</si>
  <si>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</si>
  <si>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</si>
  <si>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</si>
  <si>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</si>
  <si>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</si>
  <si>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</si>
  <si>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</si>
  <si>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</si>
  <si>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</si>
  <si>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</si>
  <si>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</si>
  <si>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</si>
  <si>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</si>
  <si>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</si>
  <si>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</si>
  <si>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</si>
  <si>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</si>
  <si>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</si>
  <si>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</si>
  <si>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</si>
  <si>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</si>
  <si>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</si>
  <si>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</si>
  <si>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</si>
  <si>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</si>
  <si>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</si>
  <si>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</si>
  <si>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</si>
  <si>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</si>
  <si>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</si>
  <si>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</si>
  <si>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</si>
  <si>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</si>
  <si>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</si>
  <si>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</si>
  <si>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</si>
  <si>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</si>
  <si>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</si>
  <si>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</si>
  <si>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</si>
  <si>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</si>
  <si>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</si>
  <si>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</si>
  <si>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</si>
  <si>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</si>
  <si>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</si>
  <si>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</si>
  <si>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</si>
  <si>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</si>
  <si>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</si>
  <si>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</si>
  <si>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</si>
  <si>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</si>
  <si>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</si>
  <si>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</si>
  <si>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</si>
  <si>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</si>
  <si>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</si>
  <si>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</si>
  <si>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</si>
  <si>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</si>
  <si>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</si>
  <si>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</si>
  <si>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</si>
  <si>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</si>
  <si>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</si>
  <si>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</si>
  <si>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</si>
  <si>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</si>
  <si>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</si>
  <si>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</si>
  <si>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</si>
  <si>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</si>
  <si>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</si>
  <si>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</si>
  <si>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</si>
  <si>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</si>
  <si>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</si>
  <si>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</si>
  <si>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</si>
  <si>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</si>
  <si>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</si>
  <si>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</si>
  <si>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</si>
  <si>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</si>
  <si>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</si>
  <si>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</si>
  <si>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</si>
  <si>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</si>
  <si>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</si>
  <si>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</si>
  <si>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</si>
  <si>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</si>
  <si>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</si>
  <si>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</si>
  <si>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</si>
  <si>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</si>
  <si>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</si>
  <si>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</si>
  <si>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</si>
  <si>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</si>
  <si>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</si>
  <si>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</si>
  <si>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</si>
  <si>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</si>
  <si>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</si>
  <si>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</si>
  <si>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</si>
  <si>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</si>
  <si>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</si>
  <si>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</si>
  <si>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</si>
  <si>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</si>
  <si>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</si>
  <si>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</si>
  <si>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</si>
  <si>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</si>
  <si>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</si>
  <si>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</si>
  <si>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</si>
  <si>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</si>
  <si>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</si>
  <si>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</si>
  <si>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</si>
  <si>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</si>
  <si>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</si>
  <si>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</si>
  <si>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</si>
  <si>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</si>
  <si>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</si>
  <si>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</si>
  <si>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</si>
  <si>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</si>
  <si>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</si>
  <si>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</si>
  <si>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</si>
  <si>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</si>
  <si>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</si>
  <si>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</si>
  <si>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</si>
  <si>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</si>
  <si>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</si>
  <si>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</si>
  <si>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</si>
  <si>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</si>
  <si>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</si>
  <si>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</si>
  <si>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</si>
  <si>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</si>
  <si>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</si>
  <si>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</si>
  <si>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</si>
  <si>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</si>
  <si>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</si>
  <si>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</si>
  <si>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</si>
  <si>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</si>
  <si>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</si>
  <si>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</si>
  <si>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</si>
  <si>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</si>
  <si>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</si>
  <si>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</si>
  <si>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</si>
  <si>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</si>
  <si>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</si>
  <si>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</si>
  <si>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</si>
  <si>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</si>
  <si>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</si>
  <si>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</si>
  <si>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</si>
  <si>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</si>
  <si>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</si>
  <si>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</si>
  <si>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</si>
  <si>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</si>
  <si>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</si>
  <si>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</si>
  <si>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</si>
  <si>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</si>
  <si>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</si>
  <si>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</si>
  <si>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</si>
  <si>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</si>
  <si>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</si>
  <si>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</si>
  <si>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</si>
  <si>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</si>
  <si>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</si>
  <si>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</si>
  <si>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</si>
  <si>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</si>
  <si>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</si>
  <si>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</si>
  <si>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</si>
  <si>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</si>
  <si>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</si>
  <si>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</si>
  <si>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</si>
  <si>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</si>
  <si>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</si>
  <si>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</si>
  <si>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</si>
  <si>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</si>
  <si>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</si>
  <si>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</si>
  <si>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</si>
  <si>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</si>
  <si>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</si>
  <si>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</si>
  <si>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</si>
  <si>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</si>
  <si>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</si>
  <si>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</si>
  <si>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</si>
  <si>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</si>
  <si>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</si>
  <si>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</si>
  <si>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</si>
  <si>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</si>
  <si>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</si>
  <si>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</si>
  <si>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</si>
  <si>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</si>
  <si>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</si>
  <si>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</si>
  <si>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</si>
  <si>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</si>
  <si>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</si>
  <si>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</si>
  <si>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</si>
  <si>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</si>
  <si>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</si>
  <si>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</si>
  <si>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</si>
  <si>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</si>
  <si>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</si>
  <si>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</si>
  <si>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</si>
  <si>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</si>
  <si>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</si>
  <si>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</si>
  <si>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</si>
  <si>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</si>
  <si>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</si>
  <si>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</si>
  <si>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</si>
  <si>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</si>
  <si>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</si>
  <si>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</si>
  <si>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</si>
  <si>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</si>
  <si>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</si>
  <si>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</si>
  <si>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</si>
  <si>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</si>
  <si>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</si>
  <si>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</si>
  <si>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</si>
  <si>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</si>
  <si>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</si>
  <si>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</si>
  <si>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</si>
  <si>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</si>
  <si>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</si>
  <si>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</si>
  <si>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</si>
  <si>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</si>
  <si>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</si>
  <si>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</si>
  <si>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</si>
  <si>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</si>
  <si>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</si>
  <si>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</si>
  <si>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</si>
  <si>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</si>
  <si>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</si>
  <si>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</si>
  <si>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</si>
  <si>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</si>
  <si>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</si>
  <si>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</si>
  <si>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</si>
  <si>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</si>
  <si>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</si>
  <si>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</si>
  <si>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</si>
  <si>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</si>
  <si>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</si>
  <si>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</si>
  <si>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</si>
  <si>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</si>
  <si>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</si>
  <si>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</si>
  <si>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</si>
  <si>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</si>
  <si>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</si>
  <si>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</si>
  <si>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</si>
  <si>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</si>
  <si>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</si>
  <si>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</si>
  <si>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</si>
  <si>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</si>
  <si>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</si>
  <si>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</si>
  <si>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</si>
  <si>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</si>
  <si>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</si>
  <si>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</si>
  <si>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</si>
  <si>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</si>
  <si>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</si>
  <si>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</si>
  <si>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</si>
  <si>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</si>
  <si>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</si>
  <si>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</si>
  <si>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</si>
  <si>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</si>
  <si>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</si>
  <si>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</si>
  <si>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</si>
  <si>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</si>
  <si>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</si>
  <si>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</si>
  <si>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</si>
  <si>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</si>
  <si>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</si>
  <si>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</si>
  <si>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</si>
  <si>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</si>
  <si>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</si>
  <si>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</si>
  <si>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</si>
  <si>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</si>
  <si>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</si>
  <si>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</si>
  <si>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</si>
  <si>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</si>
  <si>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</si>
  <si>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</si>
  <si>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</si>
  <si>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</si>
  <si>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</si>
  <si>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</si>
  <si>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</si>
  <si>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</si>
  <si>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</si>
  <si>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</si>
  <si>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</si>
  <si>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</si>
  <si>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</si>
  <si>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</si>
  <si>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</si>
  <si>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</si>
  <si>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</si>
  <si>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</si>
  <si>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</si>
  <si>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</si>
  <si>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</si>
  <si>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</si>
  <si>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</si>
  <si>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</si>
  <si>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</si>
  <si>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</si>
  <si>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</si>
  <si>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</si>
  <si>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</si>
  <si>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</si>
  <si>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</si>
  <si>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</si>
  <si>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</si>
  <si>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</si>
  <si>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</si>
  <si>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</si>
  <si>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</si>
  <si>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</si>
  <si>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</si>
  <si>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</si>
  <si>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</si>
  <si>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</si>
  <si>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</si>
  <si>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</si>
  <si>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</si>
  <si>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</si>
  <si>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</si>
  <si>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</si>
  <si>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</si>
  <si>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</si>
  <si>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</si>
  <si>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</si>
  <si>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</si>
  <si>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</si>
  <si>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</si>
  <si>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</si>
  <si>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</si>
  <si>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</si>
  <si>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</si>
  <si>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</si>
  <si>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</si>
  <si>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</si>
  <si>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</si>
  <si>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</si>
  <si>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</si>
  <si>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</si>
  <si>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</si>
  <si>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</si>
  <si>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</si>
  <si>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</si>
  <si>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</si>
  <si>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</si>
  <si>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</si>
  <si>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</si>
  <si>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</si>
  <si>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</si>
  <si>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</si>
  <si>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</si>
  <si>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</si>
  <si>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</si>
  <si>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</si>
  <si>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</si>
  <si>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</si>
  <si>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</si>
  <si>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</si>
  <si>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</si>
  <si>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</si>
  <si>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</si>
  <si>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</si>
  <si>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</si>
  <si>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</si>
  <si>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</si>
  <si>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</si>
  <si>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</si>
  <si>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</si>
  <si>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</si>
  <si>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</si>
  <si>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</si>
  <si>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</si>
  <si>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</si>
  <si>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</si>
  <si>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</si>
  <si>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</si>
  <si>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</si>
  <si>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</si>
  <si>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</si>
  <si>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</si>
  <si>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</si>
  <si>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</si>
  <si>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</si>
  <si>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</si>
  <si>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</si>
  <si>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</si>
  <si>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</si>
  <si>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</si>
  <si>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</si>
  <si>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</si>
  <si>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</si>
  <si>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</si>
  <si>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</si>
  <si>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</si>
  <si>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</si>
  <si>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</si>
  <si>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</si>
  <si>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</si>
  <si>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</si>
  <si>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</si>
  <si>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</si>
  <si>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</si>
  <si>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</si>
  <si>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</si>
  <si>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</si>
  <si>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</si>
  <si>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</si>
  <si>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</si>
  <si>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</si>
  <si>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</si>
  <si>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</si>
  <si>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</si>
  <si>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</si>
  <si>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</si>
  <si>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</si>
  <si>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</si>
  <si>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</si>
  <si>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</si>
  <si>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</si>
  <si>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</si>
  <si>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</si>
  <si>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</si>
  <si>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</si>
  <si>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</si>
  <si>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</si>
  <si>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</si>
  <si>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</si>
  <si>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</si>
  <si>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</si>
  <si>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</si>
  <si>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</si>
  <si>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</si>
  <si>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</si>
  <si>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</si>
  <si>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</si>
  <si>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</si>
  <si>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</si>
  <si>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</si>
  <si>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</si>
  <si>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</si>
  <si>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</si>
  <si>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</si>
  <si>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</si>
  <si>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</si>
  <si>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</si>
  <si>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</si>
  <si>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</si>
  <si>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</si>
  <si>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</si>
  <si>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</si>
  <si>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</si>
  <si>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</si>
  <si>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</si>
  <si>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</si>
  <si>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</si>
  <si>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</si>
  <si>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</si>
  <si>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</si>
  <si>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</si>
  <si>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</si>
  <si>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</si>
  <si>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</si>
  <si>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</si>
  <si>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</si>
  <si>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</si>
  <si>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</si>
  <si>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</si>
  <si>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</si>
  <si>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</si>
  <si>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</si>
  <si>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</si>
  <si>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</si>
  <si>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</si>
  <si>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</si>
  <si>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</si>
  <si>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</si>
  <si>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</si>
  <si>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</si>
  <si>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</si>
  <si>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</si>
  <si>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</si>
  <si>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</si>
  <si>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</si>
  <si>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</si>
  <si>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</si>
  <si>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</si>
  <si>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</si>
  <si>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</si>
  <si>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</si>
  <si>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</si>
  <si>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</si>
  <si>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</si>
  <si>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</si>
  <si>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</si>
  <si>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</si>
  <si>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</si>
  <si>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</si>
  <si>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</si>
  <si>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</si>
  <si>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</si>
  <si>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</si>
  <si>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</si>
  <si>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</si>
  <si>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</si>
  <si>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</si>
  <si>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</si>
  <si>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</si>
  <si>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</si>
  <si>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</si>
  <si>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</si>
  <si>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</si>
  <si>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</si>
  <si>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</si>
  <si>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</si>
  <si>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</si>
  <si>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</si>
  <si>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</si>
  <si>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</si>
  <si>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</si>
  <si>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</si>
  <si>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</si>
  <si>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</si>
  <si>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</si>
  <si>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</si>
  <si>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</si>
  <si>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</si>
  <si>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</si>
  <si>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</si>
  <si>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</si>
  <si>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</si>
  <si>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</si>
  <si>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</si>
  <si>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</si>
  <si>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</si>
  <si>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</si>
  <si>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</si>
  <si>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</si>
  <si>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</si>
  <si>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</si>
  <si>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</si>
  <si>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</si>
  <si>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</si>
  <si>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</si>
  <si>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</si>
  <si>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</si>
  <si>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</si>
  <si>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</si>
  <si>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</si>
  <si>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</si>
  <si>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</si>
  <si>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</si>
  <si>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</si>
  <si>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</si>
  <si>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</si>
  <si>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</si>
  <si>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</si>
  <si>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</si>
  <si>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</si>
  <si>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</si>
  <si>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</si>
  <si>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</si>
  <si>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</si>
  <si>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</si>
  <si>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</si>
  <si>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</si>
  <si>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</si>
  <si>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</si>
  <si>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</si>
  <si>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</si>
  <si>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</si>
  <si>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</si>
  <si>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</si>
  <si>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</si>
  <si>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</si>
  <si>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</si>
  <si>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</si>
  <si>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</si>
  <si>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</si>
  <si>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</si>
  <si>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</si>
  <si>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</si>
  <si>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</si>
  <si>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</si>
  <si>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</si>
  <si>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</si>
  <si>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</si>
  <si>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</si>
  <si>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</si>
  <si>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</si>
  <si>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</si>
  <si>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</si>
  <si>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</si>
  <si>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</si>
  <si>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</si>
  <si>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</si>
  <si>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</si>
  <si>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</si>
  <si>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</si>
  <si>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</si>
  <si>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</si>
  <si>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</si>
  <si>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</si>
  <si>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</si>
  <si>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</si>
  <si>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</si>
  <si>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</si>
  <si>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</si>
  <si>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</si>
  <si>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</si>
  <si>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</si>
  <si>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</si>
  <si>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</si>
  <si>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</si>
  <si>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</si>
  <si>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</si>
  <si>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</si>
  <si>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</si>
  <si>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</si>
  <si>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</si>
  <si>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</si>
  <si>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</si>
  <si>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</si>
  <si>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</si>
  <si>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</si>
  <si>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</si>
  <si>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</si>
  <si>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</si>
  <si>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</si>
  <si>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</si>
  <si>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</si>
  <si>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</si>
  <si>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</si>
  <si>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</si>
  <si>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</si>
  <si>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</si>
  <si>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</si>
  <si>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</si>
  <si>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</si>
  <si>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</si>
  <si>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</si>
  <si>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</si>
  <si>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</si>
  <si>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</si>
  <si>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</si>
  <si>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</si>
  <si>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</si>
  <si>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</si>
  <si>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</si>
  <si>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</si>
  <si>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</si>
  <si>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</si>
  <si>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</si>
  <si>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</si>
  <si>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</si>
  <si>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</si>
  <si>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</si>
  <si>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</si>
  <si>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</si>
  <si>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</si>
  <si>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</si>
  <si>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</si>
  <si>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</si>
  <si>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</si>
  <si>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</si>
  <si>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</si>
  <si>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</si>
  <si>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</si>
  <si>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</si>
  <si>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</si>
  <si>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</si>
  <si>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</si>
  <si>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</si>
  <si>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</si>
  <si>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</si>
  <si>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</si>
  <si>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</si>
  <si>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</si>
  <si>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</si>
  <si>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</si>
  <si>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</si>
  <si>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</si>
  <si>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</si>
  <si>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</si>
  <si>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</si>
  <si>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</si>
  <si>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</si>
  <si>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</si>
  <si>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</si>
  <si>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</si>
  <si>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</si>
  <si>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</si>
  <si>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</si>
  <si>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</si>
  <si>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</si>
  <si>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</si>
  <si>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</si>
  <si>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</si>
  <si>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</si>
  <si>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</si>
  <si>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</si>
  <si>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</si>
  <si>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</si>
  <si>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</si>
  <si>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</si>
  <si>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</si>
  <si>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</si>
  <si>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</si>
  <si>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</si>
  <si>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</si>
  <si>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</si>
  <si>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</si>
  <si>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</si>
  <si>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</si>
  <si>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</si>
  <si>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</si>
  <si>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</si>
  <si>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</si>
  <si>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</si>
  <si>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</si>
  <si>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</si>
  <si>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</si>
  <si>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</si>
  <si>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</si>
  <si>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</si>
  <si>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</si>
  <si>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</si>
  <si>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</si>
  <si>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</si>
  <si>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</si>
  <si>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</si>
  <si>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</si>
  <si>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</si>
  <si>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</si>
  <si>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</si>
  <si>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</si>
  <si>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</si>
  <si>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</si>
  <si>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</si>
  <si>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</si>
  <si>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</si>
  <si>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</si>
  <si>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</si>
  <si>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</si>
  <si>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</si>
  <si>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</si>
  <si>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</si>
  <si>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</si>
  <si>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</si>
  <si>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</si>
  <si>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</si>
  <si>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</si>
  <si>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</si>
  <si>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</si>
  <si>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</si>
  <si>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</si>
  <si>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</si>
  <si>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</si>
  <si>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</si>
  <si>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</si>
  <si>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</si>
  <si>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</si>
  <si>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</si>
  <si>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</si>
  <si>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</si>
  <si>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</si>
  <si>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</si>
  <si>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</si>
  <si>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</si>
  <si>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</si>
  <si>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</si>
  <si>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</si>
  <si>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</si>
  <si>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</si>
  <si>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</si>
  <si>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</si>
  <si>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</si>
  <si>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</si>
  <si>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</si>
  <si>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</si>
  <si>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</si>
  <si>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</si>
  <si>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</si>
  <si>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</si>
  <si>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</si>
  <si>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</si>
  <si>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</si>
  <si>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</si>
  <si>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</si>
  <si>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</si>
  <si>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</si>
  <si>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</si>
  <si>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</si>
  <si>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</si>
  <si>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</si>
  <si>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</si>
  <si>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</si>
  <si>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</si>
  <si>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</si>
  <si>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</si>
  <si>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</si>
  <si>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</si>
  <si>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</si>
  <si>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</si>
  <si>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</si>
  <si>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</si>
  <si>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</si>
  <si>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</si>
  <si>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</si>
  <si>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</si>
  <si>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</si>
  <si>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</si>
  <si>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</si>
  <si>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</si>
  <si>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</si>
  <si>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</si>
  <si>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</si>
  <si>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</si>
  <si>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</si>
  <si>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</si>
  <si>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</si>
  <si>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</si>
  <si>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</si>
  <si>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</si>
  <si>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</si>
  <si>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</si>
  <si>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</si>
  <si>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</si>
  <si>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</si>
  <si>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</si>
  <si>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</si>
  <si>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</si>
  <si>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</si>
  <si>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</si>
  <si>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</si>
  <si>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</si>
  <si>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</si>
  <si>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</si>
  <si>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</si>
  <si>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</si>
  <si>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</si>
  <si>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</si>
  <si>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</si>
  <si>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</si>
  <si>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</si>
  <si>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</si>
  <si>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</si>
  <si>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</si>
  <si>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</si>
  <si>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</si>
  <si>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</si>
  <si>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</si>
  <si>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</si>
  <si>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</si>
  <si>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</si>
  <si>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</si>
  <si>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</si>
  <si>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</si>
  <si>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</si>
  <si>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</si>
  <si>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</si>
  <si>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</si>
  <si>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</si>
  <si>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</si>
  <si>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</si>
  <si>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</si>
  <si>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</si>
  <si>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</si>
  <si>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</si>
  <si>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</si>
  <si>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</si>
  <si>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</si>
  <si>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</si>
  <si>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</si>
  <si>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</si>
  <si>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</si>
  <si>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</si>
  <si>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</si>
  <si>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</si>
  <si>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</si>
  <si>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</si>
  <si>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</si>
  <si>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</si>
  <si>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</si>
  <si>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</si>
  <si>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</si>
  <si>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</si>
  <si>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</si>
  <si>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</si>
  <si>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</si>
  <si>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</si>
  <si>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</si>
  <si>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</si>
  <si>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</si>
  <si>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</si>
  <si>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</si>
  <si>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</si>
  <si>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</si>
  <si>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</si>
  <si>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</si>
  <si>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</si>
  <si>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</si>
  <si>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</si>
  <si>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</si>
  <si>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</si>
  <si>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</si>
  <si>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</si>
  <si>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</si>
  <si>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</si>
  <si>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</si>
  <si>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</si>
  <si>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</si>
  <si>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</si>
  <si>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</si>
  <si>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</si>
  <si>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</si>
  <si>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</si>
  <si>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</si>
  <si>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</si>
  <si>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</si>
  <si>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</si>
  <si>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</si>
  <si>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</si>
  <si>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</si>
  <si>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</si>
  <si>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</si>
  <si>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</si>
  <si>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</si>
  <si>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</si>
  <si>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</si>
  <si>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</si>
  <si>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</si>
  <si>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</si>
  <si>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</si>
  <si>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</si>
  <si>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</si>
  <si>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</si>
  <si>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</si>
  <si>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</si>
  <si>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</si>
  <si>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</si>
  <si>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</si>
  <si>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</si>
  <si>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</si>
  <si>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</si>
  <si>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</si>
  <si>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</si>
  <si>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</si>
  <si>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</si>
  <si>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</si>
  <si>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</si>
  <si>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</si>
  <si>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</si>
  <si>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</si>
  <si>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</si>
  <si>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</si>
  <si>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</si>
  <si>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</si>
  <si>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</si>
  <si>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</si>
  <si>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</si>
  <si>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</si>
  <si>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</si>
  <si>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</si>
  <si>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</si>
  <si>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</si>
  <si>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</si>
  <si>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</si>
  <si>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</si>
  <si>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</si>
  <si>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</si>
  <si>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</si>
  <si>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</si>
  <si>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</si>
  <si>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</si>
  <si>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</si>
  <si>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</si>
  <si>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</si>
  <si>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</si>
  <si>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</si>
  <si>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</si>
  <si>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</si>
  <si>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</si>
  <si>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</si>
  <si>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</si>
  <si>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</si>
  <si>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</si>
  <si>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</si>
  <si>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</si>
  <si>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</si>
  <si>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</si>
  <si>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</si>
  <si>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</si>
  <si>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</si>
  <si>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</si>
  <si>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</si>
  <si>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</si>
  <si>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</si>
  <si>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</si>
  <si>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</si>
  <si>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</si>
  <si>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</si>
  <si>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</si>
  <si>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</si>
  <si>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</si>
  <si>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</si>
  <si>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</si>
  <si>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</si>
  <si>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</si>
  <si>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</si>
  <si>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</si>
  <si>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</si>
  <si>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</si>
  <si>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</si>
  <si>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</si>
  <si>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</si>
  <si>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</si>
  <si>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</si>
  <si>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</si>
  <si>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</si>
  <si>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</si>
  <si>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</si>
  <si>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</si>
  <si>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</si>
  <si>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</si>
  <si>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</si>
  <si>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</si>
  <si>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</si>
  <si>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</si>
  <si>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</si>
  <si>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</si>
  <si>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</si>
  <si>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</si>
  <si>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</si>
  <si>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</si>
  <si>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</si>
  <si>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</si>
  <si>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</si>
  <si>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</si>
  <si>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</si>
  <si>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</si>
  <si>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</si>
  <si>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</si>
  <si>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</si>
  <si>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</si>
  <si>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</si>
  <si>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</si>
  <si>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</si>
  <si>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</si>
  <si>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</si>
  <si>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</si>
  <si>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</si>
  <si>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</si>
  <si>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</si>
  <si>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</si>
  <si>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</si>
  <si>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</si>
  <si>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</si>
  <si>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</si>
  <si>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</si>
  <si>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</si>
  <si>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</si>
  <si>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</si>
  <si>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</si>
  <si>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</si>
  <si>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</si>
  <si>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</si>
  <si>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</si>
  <si>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</si>
  <si>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</si>
  <si>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</si>
  <si>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</si>
  <si>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</si>
  <si>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</si>
  <si>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</si>
  <si>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</si>
  <si>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</si>
  <si>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</si>
  <si>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</si>
  <si>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</si>
  <si>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</si>
  <si>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</si>
  <si>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</si>
  <si>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</si>
  <si>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</si>
  <si>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</si>
  <si>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</si>
  <si>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</si>
  <si>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</si>
  <si>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</si>
  <si>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</si>
  <si>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</si>
  <si>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</si>
  <si>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</si>
  <si>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</si>
  <si>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</si>
  <si>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</si>
  <si>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</si>
  <si>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</si>
  <si>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</si>
  <si>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</si>
  <si>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</si>
  <si>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</si>
  <si>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</si>
  <si>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</si>
  <si>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</si>
  <si>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</si>
  <si>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</si>
  <si>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</si>
  <si>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</si>
  <si>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</si>
  <si>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</si>
  <si>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</si>
  <si>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</si>
  <si>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</si>
  <si>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</si>
  <si>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</si>
  <si>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</si>
  <si>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</si>
  <si>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</si>
  <si>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</si>
  <si>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</si>
  <si>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</si>
  <si>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</si>
  <si>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</si>
  <si>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</si>
  <si>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</si>
  <si>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</si>
  <si>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</si>
  <si>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</si>
  <si>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</si>
  <si>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</si>
  <si>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</si>
  <si>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</si>
  <si>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</si>
  <si>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</si>
  <si>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</si>
  <si>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</si>
  <si>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</si>
  <si>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</si>
  <si>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</si>
  <si>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</si>
  <si>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</si>
  <si>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</si>
  <si>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</si>
  <si>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</si>
  <si>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</si>
  <si>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</si>
  <si>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</si>
  <si>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</si>
  <si>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</si>
  <si>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</si>
  <si>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</si>
  <si>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</si>
  <si>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</si>
  <si>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</si>
  <si>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</si>
  <si>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</si>
  <si>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</si>
  <si>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</si>
  <si>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</si>
  <si>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</si>
  <si>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</si>
  <si>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</si>
  <si>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</si>
  <si>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</si>
  <si>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</si>
  <si>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</si>
  <si>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</si>
  <si>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</si>
  <si>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</si>
  <si>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</si>
  <si>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</si>
  <si>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</si>
  <si>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</si>
  <si>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</si>
  <si>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</si>
  <si>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</si>
  <si>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</si>
  <si>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</si>
  <si>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</si>
  <si>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</si>
  <si>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</si>
  <si>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</si>
  <si>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</si>
  <si>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</si>
  <si>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</si>
  <si>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</si>
  <si>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</si>
  <si>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</si>
  <si>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</si>
  <si>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</si>
  <si>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</si>
  <si>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</si>
  <si>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</si>
  <si>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</si>
  <si>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</si>
  <si>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</si>
  <si>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</si>
  <si>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</si>
  <si>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</si>
  <si>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</si>
  <si>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</si>
  <si>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</si>
  <si>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</si>
  <si>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</si>
  <si>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</si>
  <si>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</si>
  <si>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</si>
  <si>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</si>
  <si>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</si>
  <si>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</si>
  <si>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</si>
  <si>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</si>
  <si>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</si>
  <si>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</si>
  <si>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</si>
  <si>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</si>
  <si>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</si>
  <si>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</si>
  <si>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</si>
  <si>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</si>
  <si>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</si>
  <si>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</si>
  <si>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</si>
  <si>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</si>
  <si>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</si>
  <si>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</si>
  <si>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</si>
  <si>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</si>
  <si>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</si>
  <si>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</si>
  <si>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</si>
  <si>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</si>
  <si>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</si>
  <si>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</si>
  <si>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</si>
  <si>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</si>
  <si>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</si>
  <si>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</si>
  <si>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</si>
  <si>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</si>
  <si>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</si>
  <si>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</si>
  <si>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</si>
  <si>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</si>
  <si>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</si>
  <si>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</si>
  <si>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</si>
  <si>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</si>
  <si>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</si>
  <si>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</si>
  <si>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</si>
  <si>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</si>
  <si>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</si>
  <si>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</si>
  <si>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</si>
  <si>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</si>
  <si>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</si>
  <si>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</si>
  <si>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</si>
  <si>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</si>
  <si>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</si>
  <si>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</si>
  <si>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</si>
  <si>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</si>
  <si>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</si>
  <si>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</si>
  <si>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</si>
  <si>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</si>
  <si>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</si>
  <si>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</si>
  <si>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</si>
  <si>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</si>
  <si>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</si>
  <si>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</si>
  <si>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</si>
  <si>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</si>
  <si>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</si>
  <si>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</si>
  <si>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</si>
  <si>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</si>
  <si>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</si>
  <si>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</si>
  <si>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</si>
  <si>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</si>
  <si>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</si>
  <si>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</si>
  <si>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</si>
  <si>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</si>
  <si>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</si>
  <si>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</si>
  <si>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</si>
  <si>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</si>
  <si>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</si>
  <si>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</si>
  <si>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</si>
  <si>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</si>
  <si>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</si>
  <si>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</si>
  <si>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</si>
  <si>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</si>
  <si>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</si>
  <si>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</si>
  <si>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</si>
  <si>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</si>
  <si>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</si>
  <si>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</si>
  <si>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</si>
  <si>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</si>
  <si>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</si>
  <si>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</si>
  <si>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</si>
  <si>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</si>
  <si>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</si>
  <si>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</si>
  <si>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</si>
  <si>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</si>
  <si>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</si>
  <si>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</si>
  <si>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</si>
  <si>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</si>
  <si>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</si>
  <si>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</si>
  <si>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</si>
  <si>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</si>
  <si>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</si>
  <si>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</si>
  <si>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</si>
  <si>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</si>
  <si>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</si>
  <si>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</si>
  <si>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</si>
  <si>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</si>
  <si>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</si>
  <si>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</si>
  <si>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</si>
  <si>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</si>
  <si>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</si>
  <si>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</si>
  <si>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</si>
  <si>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</si>
  <si>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</si>
  <si>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</si>
  <si>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</si>
  <si>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</si>
  <si>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</si>
  <si>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</si>
  <si>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</si>
  <si>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</si>
  <si>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</si>
  <si>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</si>
  <si>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</si>
  <si>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</si>
  <si>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</si>
  <si>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</si>
  <si>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</si>
  <si>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</si>
  <si>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</si>
  <si>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</si>
  <si>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</si>
  <si>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</si>
  <si>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</si>
  <si>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</si>
  <si>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</si>
  <si>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</si>
  <si>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</si>
  <si>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</si>
  <si>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</si>
  <si>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</si>
  <si>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</si>
  <si>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</si>
  <si>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</si>
  <si>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</si>
  <si>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</si>
  <si>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</si>
  <si>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</si>
  <si>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</si>
  <si>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</si>
  <si>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</si>
  <si>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</si>
  <si>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</si>
  <si>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</si>
  <si>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</si>
  <si>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</si>
  <si>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</si>
  <si>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</si>
  <si>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</si>
  <si>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</si>
  <si>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</si>
  <si>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</si>
  <si>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</si>
  <si>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</si>
  <si>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</si>
  <si>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</si>
  <si>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</si>
  <si>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</si>
  <si>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</si>
  <si>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</si>
  <si>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</si>
  <si>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</si>
  <si>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</si>
  <si>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</si>
  <si>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</si>
  <si>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</si>
  <si>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</si>
  <si>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</si>
  <si>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</si>
  <si>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</si>
  <si>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</si>
  <si>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</si>
  <si>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</si>
  <si>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</si>
  <si>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</si>
  <si>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</si>
  <si>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</si>
  <si>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</si>
  <si>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</si>
  <si>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</si>
  <si>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</si>
  <si>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</si>
  <si>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</si>
  <si>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</si>
  <si>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</si>
  <si>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</si>
  <si>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</si>
  <si>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</si>
  <si>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</si>
  <si>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</si>
  <si>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</si>
  <si>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</si>
  <si>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</si>
  <si>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</si>
  <si>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</si>
  <si>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</si>
  <si>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</si>
  <si>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</si>
  <si>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</si>
  <si>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</si>
  <si>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</si>
  <si>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</si>
  <si>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</si>
  <si>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</si>
  <si>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</si>
  <si>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</si>
  <si>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</si>
  <si>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</si>
  <si>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</si>
  <si>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</si>
  <si>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</si>
  <si>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</si>
  <si>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</si>
  <si>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</si>
  <si>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</si>
  <si>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</si>
  <si>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</si>
  <si>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</si>
  <si>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</si>
  <si>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</si>
  <si>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</si>
  <si>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</si>
  <si>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</si>
  <si>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</si>
  <si>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</si>
  <si>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</si>
  <si>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</si>
  <si>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</si>
  <si>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</si>
  <si>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</si>
  <si>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</si>
  <si>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</si>
  <si>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</si>
  <si>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</si>
  <si>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</si>
  <si>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</si>
  <si>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</si>
  <si>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</si>
  <si>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</si>
  <si>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</si>
  <si>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</si>
  <si>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</si>
  <si>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</si>
  <si>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</si>
  <si>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</si>
  <si>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</si>
  <si>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</si>
  <si>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</si>
  <si>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</si>
  <si>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</si>
  <si>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</si>
  <si>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</si>
  <si>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</si>
  <si>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</si>
  <si>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</si>
  <si>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</si>
  <si>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</si>
  <si>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</si>
  <si>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</si>
  <si>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</si>
  <si>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</si>
  <si>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</si>
  <si>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</si>
  <si>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</si>
  <si>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</si>
  <si>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</si>
  <si>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</si>
  <si>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</si>
  <si>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</si>
  <si>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</si>
  <si>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</si>
  <si>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</si>
  <si>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</si>
  <si>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</si>
  <si>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</si>
  <si>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</si>
  <si>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</si>
  <si>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</si>
  <si>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</si>
  <si>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</si>
  <si>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</si>
  <si>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</si>
  <si>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</si>
  <si>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</si>
  <si>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</si>
  <si>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</si>
  <si>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</si>
  <si>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</si>
  <si>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</si>
  <si>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</si>
  <si>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</si>
  <si>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</si>
  <si>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</si>
  <si>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</si>
  <si>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</si>
  <si>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</si>
  <si>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</si>
  <si>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</si>
  <si>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</si>
  <si>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</si>
  <si>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</si>
  <si>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</si>
  <si>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</si>
  <si>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</si>
  <si>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</si>
  <si>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</si>
  <si>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</si>
  <si>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</si>
  <si>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</si>
  <si>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</si>
  <si>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</si>
  <si>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</si>
  <si>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</si>
  <si>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</si>
  <si>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</si>
  <si>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</si>
  <si>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</si>
  <si>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</si>
  <si>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</si>
  <si>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</si>
  <si>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</si>
  <si>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</si>
  <si>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</si>
  <si>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</si>
  <si>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</si>
  <si>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</si>
  <si>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</si>
  <si>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</si>
  <si>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</si>
  <si>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</si>
  <si>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</si>
  <si>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</si>
  <si>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</si>
  <si>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</si>
  <si>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</si>
  <si>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</si>
  <si>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</si>
  <si>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</si>
  <si>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</si>
  <si>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</si>
  <si>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</si>
  <si>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</si>
  <si>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</si>
  <si>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</si>
  <si>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</si>
  <si>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</si>
  <si>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</si>
  <si>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</si>
  <si>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</si>
  <si>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</si>
  <si>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</si>
  <si>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</si>
  <si>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</si>
  <si>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</si>
  <si>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</si>
  <si>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</si>
  <si>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</si>
  <si>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</si>
  <si>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</si>
  <si>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</si>
  <si>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</si>
  <si>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</si>
  <si>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</si>
  <si>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</si>
  <si>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</si>
  <si>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</si>
  <si>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</si>
  <si>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</si>
  <si>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</si>
  <si>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</si>
  <si>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</si>
  <si>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</si>
  <si>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</si>
  <si>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</si>
  <si>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</si>
  <si>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</si>
  <si>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</si>
  <si>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</si>
  <si>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</si>
  <si>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</si>
  <si>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</si>
  <si>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</si>
  <si>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</si>
  <si>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</si>
  <si>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</si>
  <si>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</si>
  <si>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</si>
  <si>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</si>
  <si>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</si>
  <si>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</si>
  <si>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</si>
  <si>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</si>
  <si>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</si>
  <si>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</si>
  <si>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</si>
  <si>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</si>
  <si>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</si>
  <si>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</si>
  <si>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</si>
  <si>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</si>
  <si>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</si>
  <si>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</si>
  <si>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</si>
  <si>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</si>
  <si>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</si>
  <si>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</si>
  <si>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</si>
  <si>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</si>
  <si>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</si>
  <si>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</si>
  <si>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</si>
  <si>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</si>
  <si>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</si>
  <si>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</si>
  <si>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</si>
  <si>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</si>
  <si>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</si>
  <si>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</si>
  <si>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</si>
  <si>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</si>
  <si>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</si>
  <si>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</si>
  <si>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</si>
  <si>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</si>
  <si>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</si>
  <si>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</si>
  <si>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</si>
  <si>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</si>
  <si>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</si>
  <si>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</si>
  <si>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</si>
  <si>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</si>
  <si>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</si>
  <si>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</si>
  <si>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</si>
  <si>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</si>
  <si>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</si>
  <si>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</si>
  <si>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</si>
  <si>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</si>
  <si>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</si>
  <si>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</si>
  <si>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</si>
  <si>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</si>
  <si>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</si>
  <si>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</si>
  <si>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</si>
  <si>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</si>
  <si>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</si>
  <si>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</si>
  <si>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</si>
  <si>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</si>
  <si>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</si>
  <si>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</si>
  <si>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</si>
  <si>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</si>
  <si>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</si>
  <si>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</si>
  <si>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</si>
  <si>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</si>
  <si>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</si>
  <si>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</si>
  <si>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</si>
  <si>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</si>
  <si>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</si>
  <si>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</si>
  <si>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</si>
  <si>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</si>
  <si>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</si>
  <si>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</si>
  <si>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</si>
  <si>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</si>
  <si>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</si>
  <si>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</si>
  <si>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</si>
  <si>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</si>
  <si>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</si>
  <si>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</si>
  <si>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</si>
  <si>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</si>
  <si>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</si>
  <si>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</si>
  <si>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</si>
  <si>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</si>
  <si>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</si>
  <si>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</si>
  <si>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</si>
  <si>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</si>
  <si>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</si>
  <si>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</si>
  <si>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</si>
  <si>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</si>
  <si>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</si>
  <si>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</si>
  <si>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</si>
  <si>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</si>
  <si>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</si>
  <si>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</si>
  <si>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</si>
  <si>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</si>
  <si>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</si>
  <si>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</si>
  <si>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</si>
  <si>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</si>
  <si>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</si>
  <si>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</si>
  <si>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</si>
  <si>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</si>
  <si>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</si>
  <si>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</si>
  <si>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</si>
  <si>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</si>
  <si>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</si>
  <si>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</si>
  <si>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</si>
  <si>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</si>
  <si>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</si>
  <si>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</si>
  <si>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</si>
  <si>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</si>
  <si>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</si>
  <si>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</si>
  <si>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</si>
  <si>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</si>
  <si>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</si>
  <si>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</si>
  <si>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</si>
  <si>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</si>
  <si>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</si>
  <si>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</si>
  <si>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</si>
  <si>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</si>
  <si>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</si>
  <si>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</si>
  <si>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</si>
  <si>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</si>
  <si>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</si>
  <si>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</si>
  <si>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</si>
  <si>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</si>
  <si>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</si>
  <si>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</si>
  <si>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</si>
  <si>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</si>
  <si>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</si>
  <si>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</si>
  <si>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</si>
  <si>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</si>
  <si>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</si>
  <si>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</si>
  <si>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</si>
  <si>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</si>
  <si>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</si>
  <si>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</si>
  <si>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</si>
  <si>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</si>
  <si>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</si>
  <si>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</si>
  <si>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</si>
  <si>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</si>
  <si>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</si>
  <si>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</si>
  <si>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</si>
  <si>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</si>
  <si>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</si>
  <si>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</si>
  <si>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</si>
  <si>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</si>
  <si>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</si>
  <si>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</si>
  <si>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</si>
  <si>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</si>
  <si>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</si>
  <si>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</si>
  <si>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</si>
  <si>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</si>
  <si>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</si>
  <si>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</si>
  <si>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</si>
  <si>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</si>
  <si>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</si>
  <si>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</si>
  <si>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</si>
  <si>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</si>
  <si>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</si>
  <si>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</si>
  <si>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</si>
  <si>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</si>
  <si>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</si>
  <si>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</si>
  <si>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</si>
  <si>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</si>
  <si>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</si>
  <si>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</si>
  <si>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</si>
  <si>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</si>
  <si>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</si>
  <si>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</si>
  <si>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</si>
  <si>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</si>
  <si>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</si>
  <si>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</si>
  <si>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</si>
  <si>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</si>
  <si>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</si>
  <si>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</si>
  <si>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</si>
  <si>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</si>
  <si>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</si>
  <si>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</si>
  <si>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</si>
  <si>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</si>
  <si>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</si>
  <si>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</si>
  <si>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</si>
  <si>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</si>
  <si>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</si>
  <si>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</si>
  <si>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</si>
  <si>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</si>
  <si>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</si>
  <si>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</si>
  <si>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</si>
  <si>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</si>
  <si>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</si>
  <si>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</si>
  <si>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</si>
  <si>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</si>
  <si>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</si>
  <si>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</si>
  <si>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</si>
  <si>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</si>
  <si>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</si>
  <si>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</si>
  <si>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</si>
  <si>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</si>
  <si>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</si>
  <si>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</si>
  <si>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</si>
  <si>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</si>
  <si>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</si>
  <si>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</si>
  <si>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</si>
  <si>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</si>
  <si>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</si>
  <si>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</si>
  <si>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</si>
  <si>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</si>
  <si>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</si>
  <si>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</si>
  <si>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</si>
  <si>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</si>
  <si>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</si>
  <si>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</si>
  <si>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</si>
  <si>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</si>
  <si>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</si>
  <si>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</si>
  <si>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</si>
  <si>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</si>
  <si>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</si>
  <si>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</si>
  <si>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</si>
  <si>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</si>
  <si>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</si>
  <si>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</si>
  <si>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</si>
  <si>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</si>
  <si>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</si>
  <si>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</si>
  <si>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</si>
  <si>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</si>
  <si>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</si>
  <si>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</si>
  <si>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</si>
  <si>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</si>
  <si>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</si>
  <si>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</si>
  <si>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</si>
  <si>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</si>
  <si>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</si>
  <si>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</si>
  <si>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</si>
  <si>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</si>
  <si>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</si>
  <si>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</si>
  <si>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</si>
  <si>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</si>
  <si>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</si>
  <si>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</si>
  <si>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</si>
  <si>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</si>
  <si>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</si>
  <si>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</si>
  <si>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</si>
  <si>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</si>
  <si>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</si>
  <si>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</si>
  <si>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</si>
  <si>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</si>
  <si>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</si>
  <si>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</si>
  <si>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</si>
  <si>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</si>
  <si>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</si>
  <si>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</si>
  <si>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</si>
  <si>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</si>
  <si>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</si>
  <si>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</si>
  <si>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</si>
  <si>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</si>
  <si>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</si>
  <si>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</si>
  <si>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</si>
  <si>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</si>
  <si>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</si>
  <si>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</si>
  <si>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</si>
  <si>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</si>
  <si>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</si>
  <si>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</si>
  <si>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</si>
  <si>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</si>
  <si>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</si>
  <si>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</si>
  <si>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</si>
  <si>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</si>
  <si>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</si>
  <si>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</si>
  <si>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</si>
  <si>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</si>
  <si>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</si>
  <si>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</si>
  <si>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</si>
  <si>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</si>
  <si>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</si>
  <si>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</si>
  <si>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</si>
  <si>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</si>
  <si>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</si>
  <si>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</si>
  <si>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</si>
  <si>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</si>
  <si>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</si>
  <si>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</si>
  <si>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</si>
  <si>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</si>
  <si>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</si>
  <si>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</si>
  <si>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</si>
  <si>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</si>
  <si>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</si>
  <si>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</si>
  <si>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</si>
  <si>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</si>
  <si>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</si>
  <si>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</si>
  <si>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</si>
  <si>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</si>
  <si>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</si>
  <si>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</si>
  <si>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</si>
  <si>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</si>
  <si>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</si>
  <si>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</si>
  <si>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</si>
  <si>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</si>
  <si>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</si>
  <si>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</si>
  <si>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</si>
  <si>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</si>
  <si>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</si>
  <si>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</si>
  <si>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</si>
  <si>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</si>
  <si>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</si>
  <si>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</si>
  <si>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</si>
  <si>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</si>
  <si>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</si>
  <si>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</si>
  <si>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</si>
  <si>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</si>
  <si>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</si>
  <si>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</si>
  <si>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</si>
  <si>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</si>
  <si>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</si>
  <si>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</si>
  <si>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</si>
  <si>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</si>
  <si>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</si>
  <si>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</si>
  <si>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</si>
  <si>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</si>
  <si>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</si>
  <si>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</si>
  <si>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</si>
  <si>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</si>
  <si>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</si>
  <si>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</si>
  <si>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</si>
  <si>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</si>
  <si>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</si>
  <si>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</si>
  <si>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</si>
  <si>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</si>
  <si>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</si>
  <si>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</si>
  <si>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</si>
  <si>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</si>
  <si>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</si>
  <si>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</si>
  <si>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</si>
  <si>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</si>
  <si>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</si>
  <si>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</si>
  <si>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</si>
  <si>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</si>
  <si>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</si>
  <si>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</si>
  <si>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</si>
  <si>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</si>
  <si>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</si>
  <si>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</si>
  <si>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</si>
  <si>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</si>
  <si>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</si>
  <si>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</si>
  <si>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</si>
  <si>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</si>
  <si>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</si>
  <si>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</si>
  <si>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</si>
  <si>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</si>
  <si>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</si>
  <si>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</si>
  <si>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</si>
  <si>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</si>
  <si>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</si>
  <si>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</si>
  <si>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</si>
  <si>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</si>
  <si>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</si>
  <si>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</si>
  <si>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</si>
  <si>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</si>
  <si>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</si>
  <si>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</si>
  <si>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</si>
  <si>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</si>
  <si>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</si>
  <si>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</si>
  <si>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</si>
  <si>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</si>
  <si>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</si>
  <si>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</si>
  <si>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</si>
  <si>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</si>
  <si>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</si>
  <si>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</si>
  <si>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</si>
  <si>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</si>
  <si>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</si>
  <si>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</si>
  <si>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</si>
  <si>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</si>
  <si>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</si>
  <si>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</si>
  <si>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</si>
  <si>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</si>
  <si>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</si>
  <si>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</si>
  <si>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</si>
  <si>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</si>
  <si>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</si>
  <si>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</si>
  <si>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</si>
  <si>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</si>
  <si>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</si>
  <si>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</si>
  <si>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</si>
  <si>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</si>
  <si>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</si>
  <si>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</si>
  <si>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</si>
  <si>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</si>
  <si>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</si>
  <si>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</si>
  <si>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</si>
  <si>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</si>
  <si>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</si>
  <si>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</si>
  <si>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</si>
  <si>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</si>
  <si>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</si>
  <si>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</si>
  <si>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</si>
  <si>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</si>
  <si>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</si>
  <si>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</si>
  <si>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</si>
  <si>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</si>
  <si>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</si>
  <si>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</si>
  <si>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</si>
  <si>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</si>
  <si>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</si>
  <si>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</si>
  <si>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</si>
  <si>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</si>
  <si>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</si>
  <si>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</si>
  <si>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</si>
  <si>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</si>
  <si>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</si>
  <si>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</si>
  <si>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</si>
  <si>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</si>
  <si>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</si>
  <si>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</si>
  <si>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</si>
  <si>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</si>
  <si>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</si>
  <si>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</si>
  <si>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</si>
  <si>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</si>
  <si>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</si>
  <si>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</si>
  <si>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</si>
  <si>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</si>
  <si>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</si>
  <si>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</si>
  <si>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</si>
  <si>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</si>
  <si>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</si>
  <si>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</si>
  <si>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</si>
  <si>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</si>
  <si>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</si>
  <si>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</si>
  <si>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</si>
  <si>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</si>
  <si>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</si>
  <si>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</si>
  <si>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</si>
  <si>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</si>
  <si>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</si>
  <si>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</si>
  <si>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</si>
  <si>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</si>
  <si>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</si>
  <si>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</si>
  <si>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</si>
  <si>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</si>
  <si>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</si>
  <si>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</si>
  <si>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</si>
  <si>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</si>
  <si>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</si>
  <si>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</si>
  <si>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</si>
  <si>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</si>
  <si>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</si>
  <si>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</si>
  <si>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</si>
  <si>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</si>
  <si>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</si>
  <si>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</si>
  <si>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</si>
  <si>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</si>
  <si>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</si>
  <si>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</si>
  <si>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</si>
  <si>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</si>
  <si>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</si>
  <si>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</si>
  <si>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</si>
  <si>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</si>
  <si>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</si>
  <si>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</si>
  <si>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</si>
  <si>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</si>
  <si>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</si>
  <si>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</si>
  <si>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</si>
  <si>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</si>
  <si>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</si>
  <si>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</si>
  <si>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</si>
  <si>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</si>
  <si>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</si>
  <si>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</si>
  <si>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</si>
  <si>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</si>
  <si>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</si>
  <si>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</si>
  <si>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</si>
  <si>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</si>
  <si>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</si>
  <si>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</si>
  <si>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</si>
  <si>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</si>
  <si>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</si>
  <si>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</si>
  <si>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</si>
  <si>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</si>
  <si>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</si>
  <si>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</si>
  <si>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</si>
  <si>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</si>
  <si>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</si>
  <si>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</si>
  <si>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</si>
  <si>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</si>
  <si>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</si>
  <si>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</si>
  <si>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</si>
  <si>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</si>
  <si>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</si>
  <si>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</si>
  <si>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</si>
  <si>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</si>
  <si>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</si>
  <si>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</si>
  <si>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</si>
  <si>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</si>
  <si>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</si>
  <si>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</si>
  <si>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</si>
  <si>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</si>
  <si>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</si>
  <si>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</si>
  <si>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</si>
  <si>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</si>
  <si>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</si>
  <si>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</si>
  <si>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</si>
  <si>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</si>
  <si>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</si>
  <si>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</si>
  <si>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</si>
  <si>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</si>
  <si>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</si>
  <si>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</si>
  <si>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</si>
  <si>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</si>
  <si>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</si>
  <si>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</si>
  <si>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</si>
  <si>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</si>
  <si>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</si>
  <si>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</si>
  <si>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</si>
  <si>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</si>
  <si>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</si>
  <si>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</si>
  <si>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</si>
  <si>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</si>
  <si>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</si>
  <si>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</si>
  <si>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</si>
  <si>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</si>
  <si>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</si>
  <si>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</si>
  <si>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</si>
  <si>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</si>
  <si>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</si>
  <si>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</si>
  <si>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</si>
  <si>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</si>
  <si>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</si>
  <si>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</si>
  <si>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</si>
  <si>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</si>
  <si>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</si>
  <si>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</si>
  <si>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</si>
  <si>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</si>
  <si>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</si>
  <si>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</si>
  <si>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</si>
  <si>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</si>
  <si>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</si>
  <si>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</si>
  <si>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</si>
  <si>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</si>
  <si>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</si>
  <si>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</si>
  <si>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</si>
  <si>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</si>
  <si>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</si>
  <si>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</si>
  <si>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</si>
  <si>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</si>
  <si>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</si>
  <si>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</si>
  <si>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</si>
  <si>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</si>
  <si>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</si>
  <si>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</si>
  <si>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</si>
  <si>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</si>
  <si>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</si>
  <si>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</si>
  <si>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</si>
  <si>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</si>
  <si>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</si>
  <si>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</si>
  <si>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</si>
  <si>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</si>
  <si>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</si>
  <si>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</si>
  <si>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</si>
  <si>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</si>
  <si>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</si>
  <si>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</si>
  <si>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</si>
  <si>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</si>
  <si>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</si>
  <si>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</si>
  <si>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</si>
  <si>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</si>
  <si>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</si>
  <si>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</si>
  <si>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</si>
  <si>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</si>
  <si>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</si>
  <si>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</si>
  <si>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</si>
  <si>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</si>
  <si>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</si>
  <si>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</si>
  <si>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</si>
  <si>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</si>
  <si>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</si>
  <si>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</si>
  <si>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</si>
  <si>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</si>
  <si>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</si>
  <si>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</si>
  <si>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</si>
  <si>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</si>
  <si>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</si>
  <si>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</si>
  <si>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</si>
  <si>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</si>
  <si>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</si>
  <si>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</si>
  <si>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</si>
  <si>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</si>
  <si>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</si>
  <si>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</si>
  <si>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</si>
  <si>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</si>
  <si>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</si>
  <si>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</si>
  <si>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</si>
  <si>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</si>
  <si>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</si>
  <si>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</si>
  <si>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</si>
  <si>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</si>
  <si>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</si>
  <si>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</si>
  <si>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</si>
  <si>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</si>
  <si>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</si>
  <si>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</si>
  <si>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</si>
  <si>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</si>
  <si>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</si>
  <si>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</si>
  <si>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</si>
  <si>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</si>
  <si>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</si>
  <si>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</si>
  <si>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</si>
  <si>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</si>
  <si>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</si>
  <si>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</si>
  <si>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</si>
  <si>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</si>
  <si>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</si>
  <si>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</si>
  <si>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</si>
  <si>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</si>
  <si>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</si>
  <si>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</si>
  <si>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</si>
  <si>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</si>
  <si>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</si>
  <si>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</si>
  <si>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</si>
  <si>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</si>
  <si>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</si>
  <si>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</si>
  <si>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</si>
  <si>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</si>
  <si>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</si>
  <si>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</si>
  <si>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</si>
  <si>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</si>
  <si>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</si>
  <si>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</si>
  <si>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</si>
  <si>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</si>
  <si>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</si>
  <si>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</si>
  <si>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</si>
  <si>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</si>
  <si>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</si>
  <si>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</si>
  <si>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</si>
  <si>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</si>
  <si>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</si>
  <si>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</si>
  <si>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</si>
  <si>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</si>
  <si>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</si>
  <si>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</si>
  <si>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</si>
  <si>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</si>
  <si>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</si>
  <si>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</si>
  <si>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</si>
  <si>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</si>
  <si>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</si>
  <si>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</si>
  <si>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</si>
  <si>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</si>
  <si>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</si>
  <si>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</si>
  <si>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</si>
  <si>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</si>
  <si>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</si>
  <si>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</si>
  <si>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</si>
  <si>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</si>
  <si>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</si>
  <si>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</si>
  <si>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</si>
  <si>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</si>
  <si>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</si>
  <si>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</si>
  <si>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</si>
  <si>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</si>
  <si>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</si>
  <si>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</si>
  <si>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</si>
  <si>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</si>
  <si>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</si>
  <si>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</si>
  <si>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</si>
  <si>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</si>
  <si>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</si>
  <si>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</si>
  <si>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</si>
  <si>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</si>
  <si>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</si>
  <si>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</si>
  <si>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</si>
  <si>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</si>
  <si>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</si>
  <si>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</si>
  <si>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</si>
  <si>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</si>
  <si>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</si>
  <si>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</si>
  <si>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</si>
  <si>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</si>
  <si>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</si>
  <si>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</si>
  <si>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</si>
  <si>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</si>
  <si>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</si>
  <si>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</si>
  <si>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</si>
  <si>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</si>
  <si>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</si>
  <si>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</si>
  <si>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</si>
  <si>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</si>
  <si>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</si>
  <si>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</si>
  <si>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</si>
  <si>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</si>
  <si>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</si>
  <si>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</si>
  <si>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</si>
  <si>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</si>
  <si>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</si>
  <si>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</si>
  <si>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</si>
  <si>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</si>
  <si>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</si>
  <si>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</si>
  <si>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</si>
  <si>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</si>
  <si>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</si>
  <si>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</si>
  <si>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</si>
  <si>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</si>
  <si>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</si>
  <si>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</si>
  <si>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</si>
  <si>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</si>
  <si>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</si>
  <si>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</si>
  <si>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</si>
  <si>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</si>
  <si>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</si>
  <si>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</si>
  <si>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</si>
  <si>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</si>
  <si>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</si>
  <si>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</si>
  <si>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</si>
  <si>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</si>
  <si>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</si>
  <si>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</si>
  <si>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</si>
  <si>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</si>
  <si>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</si>
  <si>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</si>
  <si>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</si>
  <si>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</si>
  <si>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</si>
  <si>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</si>
  <si>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</si>
  <si>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</si>
  <si>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</si>
  <si>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</si>
  <si>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</si>
  <si>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</si>
  <si>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</si>
  <si>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</si>
  <si>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</si>
  <si>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</si>
  <si>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</si>
  <si>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</si>
  <si>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</si>
  <si>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</si>
  <si>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</si>
  <si>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</si>
  <si>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</si>
  <si>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</si>
  <si>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</si>
  <si>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</si>
  <si>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</si>
  <si>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</si>
  <si>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</si>
  <si>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</si>
  <si>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</si>
  <si>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</si>
  <si>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</si>
  <si>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</si>
  <si>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</si>
  <si>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</si>
  <si>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</si>
  <si>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</si>
  <si>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</si>
  <si>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</si>
  <si>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</si>
  <si>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</si>
  <si>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</si>
  <si>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</si>
  <si>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</si>
  <si>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</si>
  <si>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</si>
  <si>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</si>
  <si>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</si>
  <si>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</si>
  <si>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</si>
  <si>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</si>
  <si>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</si>
  <si>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</si>
  <si>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</si>
  <si>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</si>
  <si>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</si>
  <si>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</si>
  <si>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</si>
  <si>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</si>
  <si>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</si>
  <si>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</si>
  <si>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</si>
  <si>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</si>
  <si>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</si>
  <si>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</si>
  <si>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</si>
  <si>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</si>
  <si>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</si>
  <si>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</si>
  <si>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</si>
  <si>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</si>
  <si>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</si>
  <si>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</si>
  <si>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</si>
  <si>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</si>
  <si>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</si>
  <si>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</si>
  <si>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</si>
  <si>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</si>
  <si>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</si>
  <si>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</si>
  <si>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</si>
  <si>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</si>
  <si>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</si>
  <si>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</si>
  <si>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</si>
  <si>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</si>
  <si>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</si>
  <si>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</si>
  <si>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</si>
  <si>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</si>
  <si>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</si>
  <si>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</si>
  <si>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</si>
  <si>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</si>
  <si>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</si>
  <si>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</si>
  <si>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</si>
  <si>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</si>
  <si>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</si>
  <si>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</si>
  <si>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</si>
  <si>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</si>
  <si>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</si>
  <si>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</si>
  <si>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</si>
  <si>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</si>
  <si>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</si>
  <si>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</si>
  <si>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</si>
  <si>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</si>
  <si>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</si>
  <si>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</si>
  <si>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</si>
  <si>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</si>
  <si>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</si>
  <si>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</si>
  <si>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</si>
  <si>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</si>
  <si>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</si>
  <si>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</si>
  <si>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</si>
  <si>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</si>
  <si>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</si>
  <si>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</si>
  <si>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</si>
  <si>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</si>
  <si>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</si>
  <si>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</si>
  <si>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</si>
  <si>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</si>
  <si>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</si>
  <si>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</si>
  <si>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</si>
  <si>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</si>
  <si>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</si>
  <si>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</si>
  <si>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</si>
  <si>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</si>
  <si>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</si>
  <si>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</si>
  <si>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</si>
  <si>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</si>
  <si>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</si>
  <si>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</si>
  <si>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</si>
  <si>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</si>
  <si>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</si>
  <si>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</si>
  <si>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</si>
  <si>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</si>
  <si>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</si>
  <si>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</si>
  <si>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</si>
  <si>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</si>
  <si>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</si>
  <si>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</si>
  <si>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</si>
  <si>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</si>
  <si>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</si>
  <si>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</si>
  <si>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</si>
  <si>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</si>
  <si>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</si>
  <si>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</si>
  <si>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</si>
  <si>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</si>
  <si>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</si>
  <si>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</si>
  <si>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</si>
  <si>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</si>
  <si>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</si>
  <si>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</si>
  <si>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</si>
  <si>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</si>
  <si>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</si>
  <si>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</si>
  <si>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</si>
  <si>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</si>
  <si>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</si>
  <si>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</si>
  <si>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</si>
  <si>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</si>
  <si>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</si>
  <si>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</si>
  <si>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</si>
  <si>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</si>
  <si>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</si>
  <si>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</si>
  <si>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</si>
  <si>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</si>
  <si>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</si>
  <si>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</si>
  <si>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</si>
  <si>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</si>
  <si>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</si>
  <si>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</si>
  <si>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</si>
  <si>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</si>
  <si>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</si>
  <si>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</si>
  <si>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</si>
  <si>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</si>
  <si>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</si>
  <si>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</si>
  <si>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</si>
  <si>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</si>
  <si>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</si>
  <si>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</si>
  <si>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</si>
  <si>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</si>
  <si>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</si>
  <si>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</si>
  <si>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</si>
  <si>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</si>
  <si>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</si>
  <si>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</si>
  <si>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</si>
  <si>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</si>
  <si>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</si>
  <si>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</si>
  <si>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</si>
  <si>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</si>
  <si>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</si>
  <si>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</si>
  <si>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</si>
  <si>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</si>
  <si>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</si>
  <si>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</si>
  <si>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</si>
  <si>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</si>
  <si>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</si>
  <si>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</si>
  <si>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</si>
  <si>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</si>
  <si>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</si>
  <si>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</si>
  <si>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</si>
  <si>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</si>
  <si>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</si>
  <si>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</si>
  <si>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</si>
  <si>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</si>
  <si>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</si>
  <si>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</si>
  <si>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</si>
  <si>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</si>
  <si>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</si>
  <si>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</si>
  <si>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</si>
  <si>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</si>
  <si>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</si>
  <si>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</si>
  <si>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</si>
  <si>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</si>
  <si>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</si>
  <si>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</si>
  <si>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</si>
  <si>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</si>
  <si>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</si>
  <si>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</si>
  <si>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</si>
  <si>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</si>
  <si>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</si>
  <si>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</si>
  <si>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</si>
  <si>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</si>
  <si>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</si>
  <si>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</si>
  <si>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</si>
  <si>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</si>
  <si>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</si>
  <si>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</si>
  <si>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</si>
  <si>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</si>
  <si>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</si>
  <si>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</si>
  <si>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</si>
  <si>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</si>
  <si>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</si>
  <si>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</si>
  <si>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</si>
  <si>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</si>
  <si>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</si>
  <si>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</si>
  <si>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</si>
  <si>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</si>
  <si>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</si>
  <si>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</si>
  <si>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</si>
  <si>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</si>
  <si>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</si>
  <si>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</si>
  <si>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</si>
  <si>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</si>
  <si>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</si>
  <si>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</si>
  <si>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</si>
  <si>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</si>
  <si>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</si>
  <si>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</si>
  <si>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</si>
  <si>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</si>
  <si>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</si>
  <si>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</si>
  <si>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</si>
  <si>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</si>
  <si>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</si>
  <si>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</si>
  <si>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</si>
  <si>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</si>
  <si>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</si>
  <si>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</si>
  <si>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</si>
  <si>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</si>
  <si>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</si>
  <si>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</si>
  <si>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</si>
  <si>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</si>
  <si>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</si>
  <si>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</si>
  <si>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</si>
  <si>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</si>
  <si>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</si>
  <si>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</si>
  <si>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</si>
  <si>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</si>
  <si>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</si>
  <si>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</si>
  <si>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</si>
  <si>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</si>
  <si>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</si>
  <si>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</si>
  <si>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</si>
  <si>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</si>
  <si>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</si>
  <si>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</si>
  <si>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</si>
  <si>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</si>
  <si>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</si>
  <si>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</si>
  <si>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</si>
  <si>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</si>
  <si>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</si>
  <si>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</si>
  <si>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</si>
  <si>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</si>
  <si>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</si>
  <si>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</si>
  <si>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</si>
  <si>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</si>
  <si>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</si>
  <si>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</si>
  <si>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</si>
  <si>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</si>
  <si>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</si>
  <si>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</si>
  <si>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</si>
  <si>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</si>
  <si>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</si>
  <si>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</si>
  <si>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</si>
  <si>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</si>
  <si>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</si>
  <si>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</si>
  <si>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</si>
  <si>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</si>
  <si>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</si>
  <si>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</si>
  <si>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</si>
  <si>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</si>
  <si>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</si>
  <si>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</si>
  <si>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</si>
  <si>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</si>
  <si>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</si>
  <si>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</si>
  <si>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</si>
  <si>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</si>
  <si>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</si>
  <si>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</si>
  <si>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</si>
  <si>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</si>
  <si>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</si>
  <si>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</si>
  <si>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</si>
  <si>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</si>
  <si>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</si>
  <si>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</si>
  <si>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</si>
  <si>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</si>
  <si>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</si>
  <si>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</si>
  <si>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</si>
  <si>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</si>
  <si>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</si>
  <si>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</si>
  <si>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</si>
  <si>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</si>
  <si>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</si>
  <si>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</si>
  <si>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</si>
  <si>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</si>
  <si>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</si>
  <si>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</si>
  <si>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</si>
  <si>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</si>
  <si>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</si>
  <si>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</si>
  <si>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</si>
  <si>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</si>
  <si>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</si>
  <si>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</si>
  <si>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</si>
  <si>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</si>
  <si>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</si>
  <si>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</si>
  <si>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</si>
  <si>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</si>
  <si>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</si>
  <si>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</si>
  <si>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</si>
  <si>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</si>
  <si>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</si>
  <si>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</si>
  <si>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</si>
  <si>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</si>
  <si>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</si>
  <si>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</si>
  <si>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</si>
  <si>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</si>
  <si>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</si>
  <si>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</si>
  <si>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</si>
  <si>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</si>
  <si>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</si>
  <si>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</si>
  <si>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</si>
  <si>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</si>
  <si>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</si>
  <si>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</si>
  <si>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</si>
  <si>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</si>
  <si>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</si>
  <si>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</si>
  <si>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</si>
  <si>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</si>
  <si>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</si>
  <si>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</si>
  <si>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</si>
  <si>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</si>
  <si>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</si>
  <si>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</si>
  <si>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</si>
  <si>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</si>
  <si>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</si>
  <si>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</si>
  <si>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</si>
  <si>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</si>
  <si>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</si>
  <si>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</si>
  <si>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</si>
  <si>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</si>
  <si>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</si>
  <si>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</si>
  <si>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</si>
  <si>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</si>
  <si>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</si>
  <si>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</si>
  <si>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</si>
  <si>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</si>
  <si>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</si>
  <si>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</si>
  <si>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</si>
  <si>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</si>
  <si>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</si>
  <si>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</si>
  <si>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</si>
  <si>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</si>
  <si>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</si>
  <si>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</si>
  <si>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</si>
  <si>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</si>
  <si>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</si>
  <si>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</si>
  <si>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</si>
  <si>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</si>
  <si>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</si>
  <si>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</si>
  <si>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</si>
  <si>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</si>
  <si>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</si>
  <si>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</si>
  <si>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</si>
  <si>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</si>
  <si>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</si>
  <si>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</si>
  <si>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</si>
  <si>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</si>
  <si>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</si>
  <si>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</si>
  <si>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</si>
  <si>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</si>
  <si>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</si>
  <si>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</si>
  <si>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</si>
  <si>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</si>
  <si>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</si>
  <si>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</si>
  <si>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</si>
  <si>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</si>
  <si>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</si>
  <si>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</si>
  <si>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</si>
  <si>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</si>
  <si>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</si>
  <si>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</si>
  <si>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</si>
  <si>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</si>
  <si>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</si>
  <si>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</si>
  <si>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</si>
  <si>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</si>
  <si>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</si>
  <si>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</si>
  <si>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</si>
  <si>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</si>
  <si>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</si>
  <si>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</si>
  <si>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</si>
  <si>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</si>
  <si>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</si>
  <si>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</si>
  <si>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</si>
  <si>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</si>
  <si>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</si>
  <si>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</si>
  <si>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</si>
  <si>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</si>
  <si>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</si>
  <si>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</si>
  <si>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</si>
  <si>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</si>
  <si>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</si>
  <si>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</si>
  <si>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</si>
  <si>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</si>
  <si>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</si>
  <si>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</si>
  <si>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</si>
  <si>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</si>
  <si>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</si>
  <si>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</si>
  <si>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</si>
  <si>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</si>
  <si>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</si>
  <si>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</si>
  <si>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</si>
  <si>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</si>
  <si>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</si>
  <si>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</si>
  <si>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</si>
  <si>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</si>
  <si>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</si>
  <si>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</si>
  <si>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</si>
  <si>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</si>
  <si>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</si>
  <si>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</si>
  <si>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</si>
  <si>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</si>
  <si>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</si>
  <si>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</si>
  <si>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</si>
  <si>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</si>
  <si>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</si>
  <si>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</si>
  <si>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</si>
  <si>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</si>
  <si>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</si>
  <si>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</si>
  <si>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</si>
  <si>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</si>
  <si>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</si>
  <si>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</si>
  <si>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</si>
  <si>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</si>
  <si>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</si>
  <si>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</si>
  <si>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</si>
  <si>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</si>
  <si>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</si>
  <si>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</si>
  <si>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</si>
  <si>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</si>
  <si>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</si>
  <si>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</si>
  <si>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</si>
  <si>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</si>
  <si>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</si>
  <si>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</si>
  <si>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</si>
  <si>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</si>
  <si>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</si>
  <si>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</si>
  <si>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</si>
  <si>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</si>
  <si>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</si>
  <si>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</si>
  <si>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</si>
  <si>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</si>
  <si>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</si>
  <si>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</si>
  <si>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</si>
  <si>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</si>
  <si>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</si>
  <si>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</si>
  <si>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</si>
  <si>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</si>
  <si>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</si>
  <si>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</si>
  <si>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</si>
  <si>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</si>
  <si>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</si>
  <si>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</si>
  <si>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</si>
  <si>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</si>
  <si>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</si>
  <si>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</si>
  <si>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</si>
  <si>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</si>
  <si>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</si>
  <si>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</si>
  <si>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</si>
  <si>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</si>
  <si>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</si>
  <si>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</si>
  <si>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</si>
  <si>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</si>
  <si>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</si>
  <si>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</si>
  <si>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</si>
  <si>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</si>
  <si>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</si>
  <si>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</si>
  <si>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</si>
  <si>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</si>
  <si>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</si>
  <si>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</si>
  <si>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</si>
  <si>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</si>
  <si>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</si>
  <si>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</si>
  <si>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</si>
  <si>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</si>
  <si>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</si>
  <si>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</si>
  <si>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</si>
  <si>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</si>
  <si>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</si>
  <si>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</si>
  <si>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</si>
  <si>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</si>
  <si>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</si>
  <si>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</si>
  <si>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</si>
  <si>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</si>
  <si>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</si>
  <si>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</si>
  <si>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</si>
  <si>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</si>
  <si>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</si>
  <si>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</si>
  <si>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</si>
  <si>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</si>
  <si>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</si>
  <si>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</si>
  <si>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</si>
  <si>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</si>
  <si>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</si>
  <si>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</si>
  <si>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</si>
  <si>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</si>
  <si>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</si>
  <si>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</si>
  <si>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</si>
  <si>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</si>
  <si>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</si>
  <si>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</si>
  <si>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</si>
  <si>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</si>
  <si>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</si>
  <si>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</si>
  <si>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</si>
  <si>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</si>
  <si>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</si>
  <si>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</si>
  <si>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</si>
  <si>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</si>
  <si>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</si>
  <si>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</si>
  <si>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</si>
  <si>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</si>
  <si>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</si>
  <si>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</si>
  <si>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</si>
  <si>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</si>
  <si>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</si>
  <si>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</si>
  <si>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</si>
  <si>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</si>
  <si>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</si>
  <si>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</si>
  <si>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</si>
  <si>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</si>
  <si>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</si>
  <si>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</si>
  <si>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</si>
  <si>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</si>
  <si>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</si>
  <si>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</si>
  <si>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</si>
  <si>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</si>
  <si>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</si>
  <si>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</si>
  <si>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</si>
  <si>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</si>
  <si>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</si>
  <si>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</si>
  <si>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</si>
  <si>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</si>
  <si>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</si>
  <si>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</si>
  <si>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</si>
  <si>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</si>
  <si>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</si>
  <si>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</si>
  <si>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</si>
  <si>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</si>
  <si>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</si>
  <si>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</si>
  <si>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</si>
  <si>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</si>
  <si>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</si>
  <si>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</si>
  <si>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</si>
  <si>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</si>
  <si>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</si>
  <si>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</si>
  <si>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</si>
  <si>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</si>
  <si>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</si>
  <si>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</si>
  <si>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</si>
  <si>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</si>
  <si>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</si>
  <si>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</si>
  <si>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</si>
  <si>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</si>
  <si>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</si>
  <si>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</si>
  <si>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</si>
  <si>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</si>
  <si>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</si>
  <si>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</si>
  <si>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</si>
  <si>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</si>
  <si>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</si>
  <si>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</si>
  <si>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</si>
  <si>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</si>
  <si>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</si>
  <si>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</si>
  <si>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</si>
  <si>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</si>
  <si>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</si>
  <si>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</si>
  <si>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</si>
  <si>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</si>
  <si>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</si>
  <si>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</si>
  <si>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</si>
  <si>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</si>
  <si>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</si>
  <si>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</si>
  <si>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</si>
  <si>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</si>
  <si>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</si>
  <si>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</si>
  <si>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</si>
  <si>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</si>
  <si>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</si>
  <si>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</si>
  <si>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</si>
  <si>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</si>
  <si>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</si>
  <si>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</si>
  <si>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</si>
  <si>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</si>
  <si>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</si>
  <si>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</si>
  <si>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</si>
  <si>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</si>
  <si>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</si>
  <si>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</si>
  <si>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</si>
  <si>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</si>
  <si>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</si>
  <si>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</si>
  <si>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</si>
  <si>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</si>
  <si>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</si>
  <si>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</si>
  <si>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</si>
  <si>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</si>
  <si>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</si>
  <si>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</si>
  <si>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</si>
  <si>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</si>
  <si>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</si>
  <si>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</si>
  <si>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</si>
  <si>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</si>
  <si>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</si>
  <si>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</si>
  <si>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</si>
  <si>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</si>
  <si>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</si>
  <si>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</si>
  <si>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</si>
  <si>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</si>
  <si>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</si>
  <si>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</si>
  <si>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</si>
  <si>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</si>
  <si>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</si>
  <si>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</si>
  <si>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</si>
  <si>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</si>
  <si>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</si>
  <si>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</si>
  <si>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</si>
  <si>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</si>
  <si>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</si>
  <si>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</si>
  <si>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</si>
  <si>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</si>
  <si>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</si>
  <si>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</si>
  <si>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</si>
  <si>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</si>
  <si>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</si>
  <si>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</si>
  <si>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</si>
  <si>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</si>
  <si>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</si>
  <si>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</si>
  <si>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</si>
  <si>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</si>
  <si>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</si>
  <si>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</si>
  <si>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</si>
  <si>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</si>
  <si>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</si>
  <si>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</si>
  <si>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</si>
  <si>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</si>
  <si>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</si>
  <si>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</si>
  <si>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</si>
  <si>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</si>
  <si>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</si>
  <si>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</si>
  <si>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</si>
  <si>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</si>
  <si>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</si>
  <si>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</si>
  <si>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</si>
  <si>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</si>
  <si>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</si>
  <si>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</si>
  <si>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</si>
  <si>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</si>
  <si>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</si>
  <si>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</si>
  <si>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</si>
  <si>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</si>
  <si>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</si>
  <si>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</si>
  <si>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</si>
  <si>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</si>
  <si>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</si>
  <si>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</si>
  <si>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</si>
  <si>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</si>
  <si>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</si>
  <si>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</si>
  <si>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</si>
  <si>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</si>
  <si>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</si>
  <si>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</si>
  <si>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</si>
  <si>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</si>
  <si>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</si>
  <si>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</si>
  <si>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</si>
  <si>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</si>
  <si>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</si>
  <si>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</si>
  <si>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</si>
  <si>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</si>
  <si>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</si>
  <si>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</si>
  <si>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</si>
  <si>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</si>
  <si>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</si>
  <si>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</si>
  <si>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</si>
  <si>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</si>
  <si>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</si>
  <si>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</si>
  <si>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</si>
  <si>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</si>
  <si>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</si>
  <si>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</si>
  <si>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</si>
  <si>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</si>
  <si>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</si>
  <si>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</si>
  <si>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</si>
  <si>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</si>
  <si>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</si>
  <si>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</si>
  <si>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</si>
  <si>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</si>
  <si>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</si>
  <si>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</si>
  <si>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</si>
  <si>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</si>
  <si>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</si>
  <si>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</si>
  <si>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</si>
  <si>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</si>
  <si>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</si>
  <si>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</si>
  <si>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</si>
  <si>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</si>
  <si>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</si>
  <si>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</si>
  <si>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</si>
  <si>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</si>
  <si>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</si>
  <si>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</si>
  <si>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</si>
  <si>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</si>
  <si>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</si>
  <si>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</si>
  <si>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</si>
  <si>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</si>
  <si>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</si>
  <si>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</si>
  <si>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</si>
  <si>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</si>
  <si>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</si>
  <si>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</si>
  <si>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</si>
  <si>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</si>
  <si>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</si>
  <si>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</si>
  <si>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</si>
  <si>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</si>
  <si>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</si>
  <si>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</si>
  <si>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</si>
  <si>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</si>
  <si>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</si>
  <si>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</si>
  <si>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</si>
  <si>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</si>
  <si>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</si>
  <si>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</si>
  <si>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</si>
  <si>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</si>
  <si>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</si>
  <si>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</si>
  <si>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</si>
  <si>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</si>
  <si>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</si>
  <si>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</si>
  <si>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</si>
  <si>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</si>
  <si>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</si>
  <si>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</si>
  <si>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</si>
  <si>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</si>
  <si>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</si>
  <si>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</si>
  <si>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</si>
  <si>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</si>
  <si>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</si>
  <si>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</si>
  <si>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</si>
  <si>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</si>
  <si>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</si>
  <si>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</si>
  <si>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</si>
  <si>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</si>
  <si>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</si>
  <si>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</si>
  <si>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</si>
  <si>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</si>
  <si>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</si>
  <si>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</si>
  <si>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</si>
  <si>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</si>
  <si>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</si>
  <si>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</si>
  <si>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</si>
  <si>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</si>
  <si>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</si>
  <si>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</si>
  <si>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</si>
  <si>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</si>
  <si>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</si>
  <si>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</si>
  <si>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</si>
  <si>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</si>
  <si>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</si>
  <si>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</si>
  <si>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</si>
  <si>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</si>
  <si>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</si>
  <si>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</si>
  <si>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</si>
  <si>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</si>
  <si>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</si>
  <si>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</si>
  <si>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</si>
  <si>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</si>
  <si>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</si>
  <si>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</si>
  <si>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</si>
  <si>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</si>
  <si>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</si>
  <si>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</si>
  <si>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</si>
  <si>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</si>
  <si>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</si>
  <si>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</si>
  <si>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</si>
  <si>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</si>
  <si>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</si>
  <si>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</si>
  <si>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</si>
  <si>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</si>
  <si>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</si>
  <si>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</si>
  <si>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</si>
  <si>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</si>
  <si>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</si>
  <si>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</si>
  <si>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</si>
  <si>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</si>
  <si>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</si>
  <si>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</si>
  <si>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</si>
  <si>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</si>
  <si>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</si>
  <si>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</si>
  <si>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</si>
  <si>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</si>
  <si>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</si>
  <si>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</si>
  <si>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</si>
  <si>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</si>
  <si>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</si>
  <si>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</si>
  <si>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</si>
  <si>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</si>
  <si>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</si>
  <si>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</si>
  <si>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</si>
  <si>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</si>
  <si>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</si>
  <si>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</si>
  <si>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</si>
  <si>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</si>
  <si>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</si>
  <si>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</si>
  <si>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</si>
  <si>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</si>
  <si>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</si>
  <si>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</si>
  <si>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</si>
  <si>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</si>
  <si>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</si>
  <si>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</si>
  <si>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</si>
  <si>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</si>
  <si>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</si>
  <si>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</si>
  <si>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</si>
  <si>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</si>
  <si>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</si>
  <si>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</si>
  <si>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</si>
  <si>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</si>
  <si>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</si>
  <si>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</si>
  <si>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</si>
  <si>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</si>
  <si>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</si>
  <si>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</si>
  <si>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</si>
  <si>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</si>
  <si>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</si>
  <si>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</si>
  <si>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</si>
  <si>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</si>
  <si>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</si>
  <si>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</si>
  <si>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</si>
  <si>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</si>
  <si>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</si>
  <si>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</si>
  <si>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</si>
  <si>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</si>
  <si>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</si>
  <si>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</si>
  <si>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</si>
  <si>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</si>
  <si>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</si>
  <si>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</si>
  <si>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</si>
  <si>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</si>
  <si>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</si>
  <si>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</si>
  <si>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</si>
  <si>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</si>
  <si>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</si>
  <si>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</si>
  <si>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</si>
  <si>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</si>
  <si>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</si>
  <si>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</si>
  <si>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</si>
  <si>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</si>
  <si>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</si>
  <si>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</si>
  <si>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</si>
  <si>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</si>
  <si>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</si>
  <si>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</si>
  <si>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</si>
  <si>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</si>
  <si>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</si>
  <si>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</si>
  <si>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</si>
  <si>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</si>
  <si>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</si>
  <si>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</si>
  <si>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</si>
  <si>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</si>
  <si>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</si>
  <si>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</si>
  <si>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</si>
  <si>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</si>
  <si>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</si>
  <si>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</si>
  <si>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</si>
  <si>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</si>
  <si>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</si>
  <si>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</si>
  <si>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</si>
  <si>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</si>
  <si>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</si>
  <si>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</si>
  <si>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</si>
  <si>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</si>
  <si>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</si>
  <si>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</si>
  <si>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</si>
  <si>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</si>
  <si>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</si>
  <si>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</si>
  <si>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</si>
  <si>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</si>
  <si>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</si>
  <si>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</si>
  <si>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</si>
  <si>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</si>
  <si>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</si>
  <si>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</si>
  <si>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</si>
  <si>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</si>
  <si>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</si>
  <si>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</si>
  <si>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</si>
  <si>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</si>
  <si>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</si>
  <si>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</si>
  <si>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</si>
  <si>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</si>
  <si>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</si>
  <si>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</si>
  <si>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</si>
  <si>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</si>
  <si>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</si>
  <si>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</si>
  <si>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</si>
  <si>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</si>
  <si>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</si>
  <si>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</si>
  <si>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</si>
  <si>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</si>
  <si>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</si>
  <si>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</si>
  <si>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</si>
  <si>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</si>
  <si>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</si>
  <si>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</si>
  <si>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</si>
  <si>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</si>
  <si>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</si>
  <si>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</si>
  <si>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</si>
  <si>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</si>
  <si>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</si>
  <si>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</si>
  <si>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</si>
  <si>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</si>
  <si>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</si>
  <si>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</si>
  <si>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</si>
  <si>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</si>
  <si>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</si>
  <si>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</si>
  <si>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</si>
  <si>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</si>
  <si>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</si>
  <si>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</si>
  <si>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</si>
  <si>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</si>
  <si>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</si>
  <si>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</si>
  <si>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</si>
  <si>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</si>
  <si>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</si>
  <si>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</si>
  <si>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</si>
  <si>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</si>
  <si>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</si>
  <si>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</si>
  <si>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</si>
  <si>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</si>
  <si>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</si>
  <si>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</si>
  <si>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</si>
  <si>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</si>
  <si>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</si>
  <si>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</si>
  <si>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</si>
  <si>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</si>
  <si>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</si>
  <si>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</si>
  <si>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</si>
  <si>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</si>
  <si>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</si>
  <si>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</si>
  <si>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</si>
  <si>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</si>
  <si>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</si>
  <si>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</si>
  <si>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</si>
  <si>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</si>
  <si>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</si>
  <si>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</si>
  <si>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</si>
  <si>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</si>
  <si>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</si>
  <si>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</si>
  <si>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</si>
  <si>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</si>
  <si>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</si>
  <si>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</si>
  <si>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</si>
  <si>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</si>
  <si>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</si>
  <si>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</si>
  <si>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</si>
  <si>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</si>
  <si>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</si>
  <si>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</si>
  <si>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</si>
  <si>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</si>
  <si>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</si>
  <si>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</si>
  <si>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</si>
  <si>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</si>
  <si>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</si>
  <si>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</si>
  <si>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</si>
  <si>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</si>
  <si>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</si>
  <si>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</si>
  <si>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</si>
  <si>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</si>
  <si>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</si>
  <si>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</si>
  <si>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</si>
  <si>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</si>
  <si>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</si>
  <si>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</si>
  <si>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</si>
  <si>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</si>
  <si>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</si>
  <si>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</si>
  <si>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</si>
  <si>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</si>
  <si>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</si>
  <si>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</si>
  <si>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</si>
  <si>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</si>
  <si>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</si>
  <si>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</si>
  <si>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</si>
  <si>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</si>
  <si>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</si>
  <si>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</si>
  <si>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</si>
  <si>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</si>
  <si>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</si>
  <si>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</si>
  <si>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</si>
  <si>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</si>
  <si>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</si>
  <si>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</si>
  <si>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</si>
  <si>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</si>
  <si>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</si>
  <si>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</si>
  <si>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</si>
  <si>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</si>
  <si>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</si>
  <si>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</si>
  <si>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</si>
  <si>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</si>
  <si>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</si>
  <si>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</si>
  <si>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</si>
  <si>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</si>
  <si>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</si>
  <si>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</si>
  <si>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</si>
  <si>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</si>
  <si>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</si>
  <si>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</si>
  <si>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</si>
  <si>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</si>
  <si>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</si>
  <si>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</si>
  <si>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</si>
  <si>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</si>
  <si>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</si>
  <si>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</si>
  <si>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</si>
  <si>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</si>
  <si>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</si>
  <si>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</si>
  <si>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</si>
  <si>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</si>
  <si>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</si>
  <si>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</si>
  <si>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</si>
  <si>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</si>
  <si>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</si>
  <si>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</si>
  <si>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</si>
  <si>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</si>
  <si>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</si>
  <si>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</si>
  <si>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</si>
  <si>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</si>
  <si>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</si>
  <si>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</si>
  <si>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</si>
  <si>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</si>
  <si>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</si>
  <si>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</si>
  <si>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</si>
  <si>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</si>
  <si>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</si>
  <si>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</si>
  <si>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</si>
  <si>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</si>
  <si>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</si>
  <si>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</si>
  <si>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</si>
  <si>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</si>
  <si>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</si>
  <si>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</si>
  <si>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</si>
  <si>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</si>
  <si>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</si>
  <si>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</si>
  <si>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</si>
  <si>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</si>
  <si>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</si>
  <si>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</si>
  <si>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</si>
  <si>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</si>
  <si>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</si>
  <si>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</si>
  <si>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</si>
  <si>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</si>
  <si>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</si>
  <si>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</si>
  <si>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</si>
  <si>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</si>
  <si>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</si>
  <si>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</si>
  <si>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</si>
  <si>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</si>
  <si>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</si>
  <si>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</si>
  <si>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</si>
  <si>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</si>
  <si>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</si>
  <si>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</si>
  <si>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</si>
  <si>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</si>
  <si>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</si>
  <si>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</si>
  <si>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</si>
  <si>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</si>
  <si>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</si>
  <si>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</si>
  <si>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</si>
  <si>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</si>
  <si>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</si>
  <si>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</si>
  <si>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</si>
  <si>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</si>
  <si>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</si>
  <si>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</si>
  <si>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</si>
  <si>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</si>
  <si>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</si>
  <si>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</si>
  <si>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</si>
  <si>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</si>
  <si>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</si>
  <si>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</si>
  <si>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</si>
  <si>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</si>
  <si>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</si>
  <si>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</si>
  <si>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</si>
  <si>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</si>
  <si>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</si>
  <si>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</si>
  <si>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</si>
  <si>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</si>
  <si>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</si>
  <si>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</si>
  <si>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</si>
  <si>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</si>
  <si>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</si>
  <si>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</si>
  <si>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</si>
  <si>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</si>
  <si>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</si>
  <si>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</si>
  <si>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</si>
  <si>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</si>
  <si>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</si>
  <si>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</si>
  <si>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</si>
  <si>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</si>
  <si>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</si>
  <si>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</si>
  <si>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</si>
  <si>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</si>
  <si>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</si>
  <si>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</si>
  <si>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</si>
  <si>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</si>
  <si>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</si>
  <si>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</si>
  <si>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</si>
  <si>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</si>
  <si>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</si>
  <si>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</si>
  <si>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</si>
  <si>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</si>
  <si>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</si>
  <si>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</si>
  <si>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</si>
  <si>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</si>
  <si>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</si>
  <si>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</si>
  <si>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</si>
  <si>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</si>
  <si>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</si>
  <si>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</si>
  <si>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</si>
  <si>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</si>
  <si>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</si>
  <si>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</si>
  <si>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</si>
  <si>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</si>
  <si>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</si>
  <si>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</si>
  <si>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</si>
  <si>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</si>
  <si>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</si>
  <si>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</si>
  <si>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</si>
  <si>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</si>
  <si>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</si>
  <si>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</si>
  <si>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</si>
  <si>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</si>
  <si>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</si>
  <si>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</si>
  <si>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</si>
  <si>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</si>
  <si>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</si>
  <si>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</si>
  <si>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</si>
  <si>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</si>
  <si>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</si>
  <si>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</si>
  <si>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</si>
  <si>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</si>
  <si>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</si>
  <si>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</si>
  <si>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</si>
  <si>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</si>
  <si>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</si>
  <si>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</si>
  <si>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</si>
  <si>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</si>
  <si>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</si>
  <si>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</si>
  <si>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</si>
  <si>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</si>
  <si>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</si>
  <si>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</si>
  <si>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</si>
  <si>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</si>
  <si>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</si>
  <si>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</si>
  <si>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</si>
  <si>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</si>
  <si>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</si>
  <si>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</si>
  <si>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</si>
  <si>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</si>
  <si>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</si>
  <si>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</si>
  <si>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</si>
  <si>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</si>
  <si>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</si>
  <si>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</si>
  <si>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</si>
  <si>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</si>
  <si>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</si>
  <si>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</si>
  <si>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</si>
  <si>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</si>
  <si>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</si>
  <si>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</si>
  <si>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</si>
  <si>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</si>
  <si>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</si>
  <si>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</si>
  <si>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</si>
  <si>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</si>
  <si>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</si>
  <si>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</si>
  <si>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</si>
  <si>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</si>
  <si>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</si>
  <si>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</si>
  <si>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</si>
  <si>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</si>
  <si>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</si>
  <si>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</si>
  <si>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</si>
  <si>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</si>
  <si>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</si>
  <si>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</si>
  <si>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</si>
  <si>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</si>
  <si>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</si>
  <si>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</si>
  <si>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</si>
  <si>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</si>
  <si>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</si>
  <si>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</si>
  <si>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</si>
  <si>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</si>
  <si>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</si>
  <si>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</si>
  <si>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</si>
  <si>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</si>
  <si>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</si>
  <si>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</si>
  <si>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</si>
  <si>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</si>
  <si>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</si>
  <si>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</si>
  <si>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</si>
  <si>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</si>
  <si>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</si>
  <si>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</si>
  <si>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</si>
  <si>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</si>
  <si>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</si>
  <si>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</si>
  <si>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</si>
  <si>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</si>
  <si>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</si>
  <si>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</si>
  <si>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</si>
  <si>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</si>
  <si>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</si>
  <si>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</si>
  <si>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</si>
  <si>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</si>
  <si>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</si>
  <si>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</si>
  <si>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</si>
  <si>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</si>
  <si>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</si>
  <si>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</si>
  <si>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</si>
  <si>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</si>
  <si>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</si>
  <si>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</si>
  <si>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</si>
  <si>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</si>
  <si>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</si>
  <si>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</si>
  <si>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</si>
  <si>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</si>
  <si>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</si>
  <si>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</si>
  <si>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</si>
  <si>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</si>
  <si>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</si>
  <si>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</si>
  <si>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</si>
  <si>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</si>
  <si>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</si>
  <si>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</si>
  <si>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</si>
  <si>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</si>
  <si>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</si>
  <si>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</si>
  <si>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</si>
  <si>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</si>
  <si>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</si>
  <si>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</si>
  <si>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</si>
  <si>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</si>
  <si>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</si>
  <si>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</si>
  <si>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</si>
  <si>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</si>
  <si>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</si>
  <si>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</si>
  <si>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</si>
  <si>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</si>
  <si>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</si>
  <si>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</si>
  <si>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</si>
  <si>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</si>
  <si>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</si>
  <si>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</si>
  <si>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</si>
  <si>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</si>
  <si>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</si>
  <si>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</si>
  <si>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</si>
  <si>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</si>
  <si>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</si>
  <si>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</si>
  <si>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</si>
  <si>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</si>
  <si>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</si>
  <si>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</si>
  <si>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</si>
  <si>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</si>
  <si>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</si>
  <si>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</si>
  <si>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</si>
  <si>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</si>
  <si>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</si>
  <si>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</si>
  <si>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</si>
  <si>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</si>
  <si>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</si>
  <si>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</si>
  <si>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</si>
  <si>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</si>
  <si>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</si>
  <si>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</si>
  <si>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</si>
  <si>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</si>
  <si>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</si>
  <si>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</si>
  <si>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</si>
  <si>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</si>
  <si>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</si>
  <si>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</si>
  <si>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</si>
  <si>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</si>
  <si>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</si>
  <si>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</si>
  <si>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</si>
  <si>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</si>
  <si>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</si>
  <si>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</si>
  <si>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</si>
  <si>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</si>
  <si>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</si>
  <si>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</si>
  <si>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</si>
  <si>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</si>
  <si>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</si>
  <si>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</si>
  <si>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</si>
  <si>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</si>
  <si>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</si>
  <si>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</si>
  <si>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</si>
  <si>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</si>
  <si>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</si>
  <si>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</si>
  <si>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</si>
  <si>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</si>
  <si>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</si>
  <si>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</si>
  <si>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</si>
  <si>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</si>
  <si>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</si>
  <si>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</si>
  <si>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</si>
  <si>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</si>
  <si>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</si>
  <si>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</si>
  <si>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</si>
  <si>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</si>
  <si>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</si>
  <si>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</si>
  <si>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</si>
  <si>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</si>
  <si>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</si>
  <si>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</si>
  <si>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</si>
  <si>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</si>
  <si>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</si>
  <si>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</si>
  <si>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</si>
  <si>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</si>
  <si>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</si>
  <si>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</si>
  <si>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</si>
  <si>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</si>
  <si>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</si>
  <si>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</si>
  <si>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</si>
  <si>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</si>
  <si>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</si>
  <si>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</si>
  <si>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</si>
  <si>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</si>
  <si>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</si>
  <si>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</si>
  <si>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</si>
  <si>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</si>
  <si>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</si>
  <si>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</si>
  <si>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</si>
  <si>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</si>
  <si>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</si>
  <si>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</si>
  <si>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</si>
  <si>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</si>
  <si>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</si>
  <si>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</si>
  <si>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</si>
  <si>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</si>
  <si>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</si>
  <si>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</si>
  <si>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</si>
  <si>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</si>
  <si>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</si>
  <si>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</si>
  <si>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</si>
  <si>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</si>
  <si>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</si>
  <si>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</si>
  <si>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</si>
  <si>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</si>
  <si>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</si>
  <si>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</si>
  <si>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</si>
  <si>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</si>
  <si>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</si>
  <si>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</si>
  <si>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</si>
  <si>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</si>
  <si>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</si>
  <si>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</si>
  <si>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</si>
  <si>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</si>
  <si>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</si>
  <si>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</si>
  <si>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</si>
  <si>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</si>
  <si>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</si>
  <si>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</si>
  <si>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</si>
  <si>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</si>
  <si>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</si>
  <si>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</si>
  <si>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</si>
  <si>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</si>
  <si>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</si>
  <si>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</si>
  <si>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</si>
  <si>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</si>
  <si>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</si>
  <si>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</si>
  <si>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</si>
  <si>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</si>
  <si>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</si>
  <si>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</si>
  <si>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</si>
  <si>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</si>
  <si>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</si>
  <si>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</si>
  <si>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</si>
  <si>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</si>
  <si>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</si>
  <si>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</si>
  <si>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</si>
  <si>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</si>
  <si>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</si>
  <si>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</si>
  <si>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</si>
  <si>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</si>
  <si>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</si>
  <si>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</si>
  <si>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</si>
  <si>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</si>
  <si>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</si>
  <si>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</si>
  <si>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</si>
  <si>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</si>
  <si>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</si>
  <si>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</si>
  <si>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</si>
  <si>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</si>
  <si>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</si>
  <si>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</si>
  <si>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</si>
  <si>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</si>
  <si>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</si>
  <si>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</si>
  <si>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</si>
  <si>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</si>
  <si>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</si>
  <si>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</si>
  <si>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</si>
  <si>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</si>
  <si>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</si>
  <si>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</si>
  <si>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</si>
  <si>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</si>
  <si>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</si>
  <si>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</si>
  <si>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</si>
  <si>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</si>
  <si>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</si>
  <si>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</si>
  <si>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</si>
  <si>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</si>
  <si>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</si>
  <si>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</si>
  <si>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</si>
  <si>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</si>
  <si>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</si>
  <si>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</si>
  <si>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</si>
  <si>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</si>
  <si>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</si>
  <si>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</si>
  <si>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</si>
  <si>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</si>
  <si>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</si>
  <si>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</si>
  <si>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</si>
  <si>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</si>
  <si>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</si>
  <si>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</si>
  <si>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</si>
  <si>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</si>
  <si>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</si>
  <si>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</si>
  <si>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</si>
  <si>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</si>
  <si>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</si>
  <si>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</si>
  <si>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</si>
  <si>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</si>
  <si>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</si>
  <si>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</si>
  <si>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</si>
  <si>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</si>
  <si>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</si>
  <si>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</si>
  <si>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</si>
  <si>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</si>
  <si>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</si>
  <si>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</si>
  <si>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</si>
  <si>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</si>
  <si>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</si>
  <si>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</si>
  <si>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</si>
  <si>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</si>
  <si>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</si>
  <si>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</si>
  <si>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</si>
  <si>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</si>
  <si>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</si>
  <si>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</si>
  <si>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</si>
  <si>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</si>
  <si>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</si>
  <si>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</si>
  <si>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</si>
  <si>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</si>
  <si>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</si>
  <si>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</si>
  <si>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</si>
  <si>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</si>
  <si>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</si>
  <si>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</si>
  <si>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</si>
  <si>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</si>
  <si>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</si>
  <si>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</si>
  <si>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</si>
  <si>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</si>
  <si>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</si>
  <si>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</si>
  <si>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</si>
  <si>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</si>
  <si>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</si>
  <si>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</si>
  <si>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</si>
  <si>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</si>
  <si>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</si>
  <si>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</si>
  <si>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</si>
  <si>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</si>
  <si>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</si>
  <si>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</si>
  <si>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</si>
  <si>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</si>
  <si>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</si>
  <si>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</si>
  <si>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</si>
  <si>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</si>
  <si>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</si>
  <si>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</si>
  <si>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</si>
  <si>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</si>
  <si>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</si>
  <si>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</si>
  <si>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</si>
  <si>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</si>
  <si>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</si>
  <si>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</si>
  <si>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</si>
  <si>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</si>
  <si>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</si>
  <si>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</si>
  <si>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</si>
  <si>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</si>
  <si>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</si>
  <si>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</si>
  <si>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</si>
  <si>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</si>
  <si>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</si>
  <si>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</si>
  <si>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</si>
  <si>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</si>
  <si>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</si>
  <si>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</si>
  <si>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</si>
  <si>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</si>
  <si>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</si>
  <si>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</si>
  <si>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</si>
  <si>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</si>
  <si>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</si>
  <si>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</si>
  <si>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</si>
  <si>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</si>
  <si>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</si>
  <si>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</si>
  <si>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</si>
  <si>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</si>
  <si>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</si>
  <si>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</si>
  <si>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</si>
  <si>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</si>
  <si>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</si>
  <si>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</si>
  <si>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</si>
  <si>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</si>
  <si>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</si>
  <si>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</si>
  <si>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</si>
  <si>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</si>
  <si>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</si>
  <si>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</si>
  <si>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</si>
  <si>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</si>
  <si>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</si>
  <si>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</si>
  <si>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</si>
  <si>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</si>
  <si>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</si>
  <si>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</si>
  <si>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</si>
  <si>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</si>
  <si>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</si>
  <si>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</si>
  <si>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</si>
  <si>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</si>
  <si>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</si>
  <si>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</si>
  <si>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</si>
  <si>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</si>
  <si>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</si>
  <si>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</si>
  <si>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</si>
  <si>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</si>
  <si>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</si>
  <si>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</si>
  <si>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</si>
  <si>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</si>
  <si>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</si>
  <si>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</si>
  <si>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</si>
  <si>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</si>
  <si>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</si>
  <si>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</si>
  <si>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</si>
  <si>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</si>
  <si>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</si>
  <si>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</si>
  <si>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</si>
  <si>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</si>
  <si>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</si>
  <si>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</si>
  <si>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</si>
  <si>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</si>
  <si>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</si>
  <si>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</si>
  <si>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</si>
  <si>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</si>
  <si>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</si>
  <si>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</si>
  <si>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</si>
  <si>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</si>
  <si>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</si>
  <si>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</si>
  <si>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</si>
  <si>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</si>
  <si>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</si>
  <si>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</si>
  <si>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</si>
  <si>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</si>
  <si>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</si>
  <si>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</si>
  <si>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</si>
  <si>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</si>
  <si>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</si>
  <si>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</si>
  <si>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</si>
  <si>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</si>
  <si>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</si>
  <si>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</si>
  <si>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</si>
  <si>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</si>
  <si>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</si>
  <si>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</si>
  <si>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</si>
  <si>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</si>
  <si>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</si>
  <si>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</si>
  <si>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</si>
  <si>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</si>
  <si>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</si>
  <si>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</si>
  <si>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</si>
  <si>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</si>
  <si>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</si>
  <si>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</si>
  <si>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</si>
  <si>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</si>
  <si>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</si>
  <si>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</si>
  <si>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</si>
  <si>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</si>
  <si>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</si>
  <si>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</si>
  <si>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</si>
  <si>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</si>
  <si>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</si>
  <si>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</si>
  <si>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</si>
  <si>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</si>
  <si>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</si>
  <si>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</si>
  <si>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</si>
  <si>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</si>
  <si>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</si>
  <si>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</si>
  <si>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</si>
  <si>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</si>
  <si>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</si>
  <si>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</si>
  <si>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</si>
  <si>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</si>
  <si>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</si>
  <si>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</si>
  <si>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</si>
  <si>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</si>
  <si>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</si>
  <si>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</si>
  <si>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</si>
  <si>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</si>
  <si>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</si>
  <si>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</si>
  <si>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</si>
  <si>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</si>
  <si>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</si>
  <si>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</si>
  <si>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</si>
  <si>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</si>
  <si>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</si>
  <si>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</si>
  <si>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</si>
  <si>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</si>
  <si>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</si>
  <si>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</si>
  <si>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</si>
  <si>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</si>
  <si>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</si>
  <si>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</si>
  <si>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</si>
  <si>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</si>
  <si>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</si>
  <si>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</si>
  <si>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</si>
  <si>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</si>
  <si>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</si>
  <si>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</si>
  <si>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</si>
  <si>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</si>
  <si>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</si>
  <si>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</si>
  <si>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</si>
  <si>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</si>
  <si>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</si>
  <si>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</si>
  <si>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</si>
  <si>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</si>
  <si>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</si>
  <si>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</si>
  <si>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</si>
  <si>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</si>
  <si>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</si>
  <si>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</si>
  <si>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</si>
  <si>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</si>
  <si>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</si>
  <si>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</si>
  <si>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</si>
  <si>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</si>
  <si>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</si>
  <si>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</si>
  <si>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</si>
  <si>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</si>
  <si>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</si>
  <si>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</si>
  <si>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</si>
  <si>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</si>
  <si>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</si>
  <si>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</si>
  <si>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</si>
  <si>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</si>
  <si>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</si>
  <si>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</si>
  <si>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</si>
  <si>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</si>
  <si>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</si>
  <si>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</si>
  <si>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</si>
  <si>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</si>
  <si>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</si>
  <si>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</si>
  <si>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</si>
  <si>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</si>
  <si>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</si>
  <si>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</si>
  <si>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</si>
  <si>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</si>
  <si>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</si>
  <si>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</si>
  <si>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</si>
  <si>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</si>
  <si>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</si>
  <si>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</si>
  <si>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</si>
  <si>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</si>
  <si>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</si>
  <si>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</si>
  <si>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</si>
  <si>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</si>
  <si>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</si>
  <si>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</si>
  <si>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</si>
  <si>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</si>
  <si>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</si>
  <si>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</si>
  <si>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</si>
  <si>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</si>
  <si>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</si>
  <si>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</si>
  <si>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</si>
  <si>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</si>
  <si>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</si>
  <si>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</si>
  <si>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</si>
  <si>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</si>
  <si>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</si>
  <si>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</si>
  <si>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</si>
  <si>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</si>
  <si>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</si>
  <si>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</si>
  <si>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</si>
  <si>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</si>
  <si>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</si>
  <si>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</si>
  <si>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</si>
  <si>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</si>
  <si>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</si>
  <si>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</si>
  <si>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</si>
  <si>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</si>
  <si>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</si>
  <si>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</si>
  <si>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</si>
  <si>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</si>
  <si>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</si>
  <si>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</si>
  <si>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</si>
  <si>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</si>
  <si>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</si>
  <si>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</si>
  <si>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</si>
  <si>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</si>
  <si>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</si>
  <si>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</si>
  <si>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</si>
  <si>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</si>
  <si>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</si>
  <si>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</si>
  <si>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</si>
  <si>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</si>
  <si>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</si>
  <si>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</si>
  <si>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</si>
  <si>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</si>
  <si>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</si>
  <si>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</si>
  <si>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</si>
  <si>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</si>
  <si>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</si>
  <si>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</si>
  <si>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</si>
  <si>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</si>
  <si>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</si>
  <si>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</si>
  <si>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</si>
  <si>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</si>
  <si>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</si>
  <si>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</si>
  <si>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</si>
  <si>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</si>
  <si>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</si>
  <si>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</si>
  <si>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</si>
  <si>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</si>
  <si>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</si>
  <si>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</si>
  <si>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</si>
  <si>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</si>
  <si>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</si>
  <si>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</si>
  <si>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</si>
  <si>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</si>
  <si>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</si>
  <si>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</si>
  <si>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</si>
  <si>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</si>
  <si>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</si>
  <si>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</si>
  <si>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</si>
  <si>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</si>
  <si>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</si>
  <si>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</si>
  <si>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</si>
  <si>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</si>
  <si>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</si>
  <si>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</si>
  <si>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</si>
  <si>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</si>
  <si>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</si>
  <si>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</si>
  <si>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</si>
  <si>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</si>
  <si>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</si>
  <si>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</si>
  <si>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</si>
  <si>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</si>
  <si>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</si>
  <si>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</si>
  <si>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</si>
  <si>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</si>
  <si>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</si>
  <si>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</si>
  <si>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</si>
  <si>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</si>
  <si>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</si>
  <si>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</si>
  <si>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</si>
  <si>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</si>
  <si>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</si>
  <si>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</si>
  <si>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</si>
  <si>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</si>
  <si>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</si>
  <si>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</si>
  <si>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</si>
  <si>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</si>
  <si>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</si>
  <si>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</si>
  <si>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</si>
  <si>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</si>
  <si>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</si>
  <si>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</si>
  <si>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</si>
  <si>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</si>
  <si>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</si>
  <si>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</si>
  <si>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</si>
  <si>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</si>
  <si>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</si>
  <si>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</si>
  <si>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</si>
  <si>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</si>
  <si>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</si>
  <si>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</si>
  <si>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</si>
  <si>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</si>
  <si>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</si>
  <si>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</si>
  <si>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</si>
  <si>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</si>
  <si>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</si>
  <si>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</si>
  <si>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</si>
  <si>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</si>
  <si>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</si>
  <si>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</si>
  <si>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</si>
  <si>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</si>
  <si>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</si>
  <si>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</si>
  <si>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</si>
  <si>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</si>
  <si>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</si>
  <si>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</si>
  <si>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</si>
  <si>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</si>
  <si>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</si>
  <si>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</si>
  <si>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</si>
  <si>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</si>
  <si>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</si>
  <si>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</si>
  <si>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</si>
  <si>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</si>
  <si>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</si>
  <si>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</si>
  <si>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</si>
  <si>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</si>
  <si>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</si>
  <si>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</si>
  <si>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</si>
  <si>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</si>
  <si>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</si>
  <si>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</si>
  <si>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</si>
  <si>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</si>
  <si>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</si>
  <si>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</si>
  <si>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</si>
  <si>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</si>
  <si>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</si>
  <si>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</si>
  <si>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</si>
  <si>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</si>
  <si>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</si>
  <si>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</si>
  <si>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</si>
  <si>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</si>
  <si>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</si>
  <si>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</si>
  <si>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</si>
  <si>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</si>
  <si>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</si>
  <si>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</si>
  <si>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</si>
  <si>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</si>
  <si>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</si>
  <si>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</si>
  <si>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</si>
  <si>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</si>
  <si>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</si>
  <si>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</si>
  <si>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</si>
  <si>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</si>
  <si>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</si>
  <si>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</si>
  <si>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</si>
  <si>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</si>
  <si>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</si>
  <si>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</si>
  <si>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</si>
  <si>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</si>
  <si>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</si>
  <si>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</si>
  <si>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</si>
  <si>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</si>
  <si>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</si>
  <si>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</si>
  <si>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</si>
  <si>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</si>
  <si>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</si>
  <si>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</si>
  <si>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</si>
  <si>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</si>
  <si>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</si>
  <si>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</si>
  <si>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</si>
  <si>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</si>
  <si>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</si>
  <si>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</si>
  <si>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</si>
  <si>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</si>
  <si>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</si>
  <si>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</si>
  <si>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</si>
  <si>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</si>
  <si>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</si>
  <si>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</si>
  <si>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</si>
  <si>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</si>
  <si>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</si>
  <si>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</si>
  <si>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</si>
  <si>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</si>
  <si>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</si>
  <si>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</si>
  <si>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</si>
  <si>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</si>
  <si>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</si>
  <si>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</si>
  <si>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</si>
  <si>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</si>
  <si>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</si>
  <si>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</si>
  <si>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</si>
  <si>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</si>
  <si>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</si>
  <si>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</si>
  <si>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</si>
  <si>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</si>
  <si>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</si>
  <si>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</si>
  <si>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</si>
  <si>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</si>
  <si>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</si>
  <si>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</si>
  <si>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</si>
  <si>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</si>
  <si>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</si>
  <si>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</si>
  <si>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</si>
  <si>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</si>
  <si>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</si>
  <si>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</si>
  <si>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</si>
  <si>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</si>
  <si>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</si>
  <si>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</si>
  <si>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</si>
  <si>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</si>
  <si>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</si>
  <si>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</si>
  <si>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</si>
  <si>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</si>
  <si>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</si>
  <si>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</si>
  <si>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</si>
  <si>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</si>
  <si>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</si>
  <si>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</si>
  <si>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</si>
  <si>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</si>
  <si>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</si>
  <si>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</si>
  <si>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</si>
  <si>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</si>
  <si>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</si>
  <si>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</si>
  <si>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</si>
  <si>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</si>
  <si>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</si>
  <si>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</si>
  <si>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</si>
  <si>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</si>
  <si>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</si>
  <si>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</si>
  <si>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</si>
  <si>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</si>
  <si>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</si>
  <si>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</si>
  <si>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</si>
  <si>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</si>
  <si>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</si>
  <si>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</si>
  <si>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</si>
  <si>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</si>
  <si>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</si>
  <si>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</si>
  <si>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</si>
  <si>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</si>
  <si>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</si>
  <si>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</si>
  <si>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</si>
  <si>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</si>
  <si>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</si>
  <si>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</si>
  <si>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</si>
  <si>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</si>
  <si>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</si>
  <si>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</si>
  <si>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</si>
  <si>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</si>
  <si>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</si>
  <si>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</si>
  <si>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</si>
  <si>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</si>
  <si>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</si>
  <si>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</si>
  <si>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</si>
  <si>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</si>
  <si>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</si>
  <si>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</si>
  <si>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</si>
  <si>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</si>
  <si>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</si>
  <si>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</si>
  <si>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</si>
  <si>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</si>
  <si>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</si>
  <si>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</si>
  <si>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</si>
  <si>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</si>
  <si>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</si>
  <si>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</si>
  <si>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</si>
  <si>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</si>
  <si>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</si>
  <si>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</si>
  <si>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</si>
  <si>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</si>
  <si>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</si>
  <si>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</si>
  <si>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</si>
  <si>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</si>
  <si>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</si>
  <si>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</si>
  <si>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</si>
  <si>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</si>
  <si>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</si>
  <si>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</si>
  <si>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</si>
  <si>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</si>
  <si>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</si>
  <si>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</si>
  <si>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</si>
  <si>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</si>
  <si>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</si>
  <si>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</si>
  <si>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</si>
  <si>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</si>
  <si>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</si>
  <si>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</si>
  <si>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</si>
  <si>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</si>
  <si>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</si>
  <si>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</si>
  <si>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</si>
  <si>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</si>
  <si>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</si>
  <si>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</si>
  <si>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</si>
  <si>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</si>
  <si>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</si>
  <si>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</si>
  <si>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</si>
  <si>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</si>
  <si>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</si>
  <si>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</si>
  <si>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</si>
  <si>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</si>
  <si>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</si>
  <si>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</si>
  <si>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</si>
  <si>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</si>
  <si>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</si>
  <si>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</si>
  <si>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</si>
  <si>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</si>
  <si>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</si>
  <si>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</si>
  <si>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</si>
  <si>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</si>
  <si>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</si>
  <si>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</si>
  <si>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</si>
  <si>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</si>
  <si>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</si>
  <si>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</si>
  <si>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</si>
  <si>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</si>
  <si>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</si>
  <si>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</si>
  <si>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</si>
  <si>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</si>
  <si>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</si>
  <si>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</si>
  <si>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</si>
  <si>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</si>
  <si>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</si>
  <si>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</si>
  <si>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</si>
  <si>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</si>
  <si>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</si>
  <si>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</si>
  <si>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</si>
  <si>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</si>
  <si>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</si>
  <si>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</si>
  <si>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</si>
  <si>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</si>
  <si>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</si>
  <si>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</si>
  <si>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</si>
  <si>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</si>
  <si>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</si>
  <si>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</si>
  <si>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</si>
  <si>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</si>
  <si>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</si>
  <si>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</si>
  <si>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</si>
  <si>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</si>
  <si>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</si>
  <si>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</si>
  <si>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</si>
  <si>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</si>
  <si>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</si>
  <si>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</si>
  <si>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</si>
  <si>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</si>
  <si>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</si>
  <si>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</si>
  <si>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</si>
  <si>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</si>
  <si>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</si>
  <si>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</si>
  <si>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</si>
  <si>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</si>
  <si>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</si>
  <si>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</si>
  <si>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</si>
  <si>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</si>
  <si>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</si>
  <si>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</si>
  <si>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</si>
  <si>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</si>
  <si>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</si>
  <si>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</si>
  <si>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</si>
  <si>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</si>
  <si>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</si>
  <si>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</si>
  <si>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</si>
  <si>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</si>
  <si>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</si>
  <si>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</si>
  <si>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</si>
  <si>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</si>
  <si>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</si>
  <si>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</si>
  <si>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</si>
  <si>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</si>
  <si>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</si>
  <si>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</si>
  <si>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</si>
  <si>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</si>
  <si>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</si>
  <si>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</si>
  <si>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</si>
  <si>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</si>
  <si>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</si>
  <si>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</si>
  <si>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</si>
  <si>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</si>
  <si>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</si>
  <si>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</si>
  <si>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</si>
  <si>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</si>
  <si>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</si>
  <si>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</si>
  <si>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</si>
  <si>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</si>
  <si>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</si>
  <si>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</si>
  <si>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</si>
  <si>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</si>
  <si>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</si>
  <si>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</si>
  <si>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</si>
  <si>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</si>
  <si>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</si>
  <si>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</si>
  <si>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</si>
  <si>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</si>
  <si>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</si>
  <si>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</si>
  <si>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</si>
  <si>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</si>
  <si>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</si>
  <si>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</si>
  <si>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</si>
  <si>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</si>
  <si>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</si>
  <si>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</si>
  <si>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</si>
  <si>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</si>
  <si>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</si>
  <si>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</si>
  <si>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</si>
  <si>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</si>
  <si>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</si>
  <si>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</si>
  <si>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</si>
  <si>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</si>
  <si>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</si>
  <si>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</si>
  <si>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</si>
  <si>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</si>
  <si>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</si>
  <si>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</si>
  <si>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</si>
  <si>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</si>
  <si>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</si>
  <si>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</si>
  <si>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</si>
  <si>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</si>
  <si>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</si>
  <si>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</si>
  <si>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</si>
  <si>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</si>
  <si>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</si>
  <si>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</si>
  <si>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</si>
  <si>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</si>
  <si>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</si>
  <si>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</si>
  <si>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</si>
  <si>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</si>
  <si>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</si>
  <si>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</si>
  <si>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</si>
  <si>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</si>
  <si>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</si>
  <si>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</si>
  <si>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</si>
  <si>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</si>
  <si>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</si>
  <si>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</si>
  <si>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</si>
  <si>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</si>
  <si>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</si>
  <si>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</si>
  <si>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</si>
  <si>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</si>
  <si>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</si>
  <si>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</si>
  <si>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</si>
  <si>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</si>
  <si>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</si>
  <si>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</si>
  <si>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</si>
  <si>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</si>
  <si>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</si>
  <si>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</si>
  <si>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</si>
  <si>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</si>
  <si>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</si>
  <si>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</si>
  <si>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</si>
  <si>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</si>
  <si>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</si>
  <si>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</si>
  <si>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</si>
  <si>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</si>
  <si>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</si>
  <si>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</si>
  <si>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</si>
  <si>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</si>
  <si>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</si>
  <si>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</si>
  <si>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</si>
  <si>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</si>
  <si>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</si>
  <si>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</si>
  <si>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</si>
  <si>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</si>
  <si>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</si>
  <si>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</si>
  <si>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</si>
  <si>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</si>
  <si>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</si>
  <si>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</si>
  <si>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</si>
  <si>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</si>
  <si>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</si>
  <si>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</si>
  <si>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</si>
  <si>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</si>
  <si>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</si>
  <si>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</si>
  <si>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</si>
  <si>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</si>
  <si>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</si>
  <si>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</si>
  <si>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</si>
  <si>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</si>
  <si>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</si>
  <si>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</si>
  <si>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</si>
  <si>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</si>
  <si>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</si>
  <si>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</si>
  <si>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</si>
  <si>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</si>
  <si>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</si>
  <si>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</si>
  <si>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</si>
  <si>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</si>
  <si>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</si>
  <si>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</si>
  <si>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</si>
  <si>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</si>
  <si>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</si>
  <si>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</si>
  <si>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</si>
  <si>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</si>
  <si>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</si>
  <si>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</si>
  <si>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</si>
  <si>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</si>
  <si>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</si>
  <si>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</si>
  <si>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</si>
  <si>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</si>
  <si>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</si>
  <si>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</si>
  <si>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</si>
  <si>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</si>
  <si>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</si>
  <si>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</si>
  <si>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</si>
  <si>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</si>
  <si>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</si>
  <si>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</si>
  <si>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</si>
  <si>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</si>
  <si>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</si>
  <si>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</si>
  <si>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</si>
  <si>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</si>
  <si>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</si>
  <si>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</si>
  <si>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</si>
  <si>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</si>
  <si>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</si>
  <si>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</si>
  <si>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</si>
  <si>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</si>
  <si>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</si>
  <si>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</si>
  <si>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</si>
  <si>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</si>
  <si>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</si>
  <si>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</si>
  <si>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</si>
  <si>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</si>
  <si>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</si>
  <si>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</si>
  <si>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</si>
  <si>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</si>
  <si>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</si>
  <si>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</si>
  <si>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</si>
  <si>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</si>
  <si>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</si>
  <si>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</si>
  <si>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</si>
  <si>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</si>
  <si>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</si>
  <si>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</si>
  <si>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</si>
  <si>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</si>
  <si>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</si>
  <si>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</si>
  <si>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</si>
  <si>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</si>
  <si>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</si>
  <si>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</si>
  <si>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</si>
  <si>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</si>
  <si>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</si>
  <si>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</si>
  <si>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</si>
  <si>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</si>
  <si>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</si>
  <si>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</si>
  <si>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</si>
  <si>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</si>
  <si>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</si>
  <si>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</si>
  <si>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</si>
  <si>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</si>
  <si>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</si>
  <si>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</si>
  <si>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</si>
  <si>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</si>
  <si>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</si>
  <si>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</si>
  <si>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</si>
  <si>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</si>
  <si>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</si>
  <si>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</si>
  <si>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</si>
  <si>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</si>
  <si>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</si>
  <si>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</si>
  <si>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</si>
  <si>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</si>
  <si>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</si>
  <si>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</si>
  <si>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</si>
  <si>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</si>
  <si>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</si>
  <si>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</si>
  <si>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</si>
  <si>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</si>
  <si>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</si>
  <si>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</si>
  <si>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</si>
  <si>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</si>
  <si>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</si>
  <si>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</si>
  <si>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</si>
  <si>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</si>
  <si>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</si>
  <si>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</si>
  <si>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</si>
  <si>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</si>
  <si>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</si>
  <si>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</si>
  <si>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</si>
  <si>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</si>
  <si>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</si>
  <si>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</si>
  <si>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</si>
  <si>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</si>
  <si>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</si>
  <si>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</si>
  <si>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</si>
  <si>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</si>
  <si>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</si>
  <si>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</si>
  <si>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</si>
  <si>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</si>
  <si>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</si>
  <si>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</si>
  <si>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</si>
  <si>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</si>
  <si>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</si>
  <si>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</si>
  <si>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</si>
  <si>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</si>
  <si>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</si>
  <si>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</si>
  <si>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</si>
  <si>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</si>
  <si>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</si>
  <si>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</si>
  <si>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</si>
  <si>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</si>
  <si>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</si>
  <si>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</si>
  <si>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</si>
  <si>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</si>
  <si>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</si>
  <si>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</si>
  <si>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</si>
  <si>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</si>
  <si>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</si>
  <si>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</si>
  <si>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</si>
  <si>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</si>
  <si>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</si>
  <si>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</si>
  <si>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</si>
  <si>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</si>
  <si>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</si>
  <si>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</si>
  <si>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</si>
  <si>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</si>
  <si>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</si>
  <si>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</si>
  <si>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</si>
  <si>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</si>
  <si>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</si>
  <si>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</si>
  <si>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</si>
  <si>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</si>
  <si>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</si>
  <si>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</si>
  <si>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</si>
  <si>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</si>
  <si>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</si>
  <si>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</si>
  <si>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</si>
  <si>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</si>
  <si>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</si>
  <si>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</si>
  <si>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</si>
  <si>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</si>
  <si>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</si>
  <si>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</si>
  <si>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</si>
  <si>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</si>
  <si>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</si>
  <si>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</si>
  <si>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</si>
  <si>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</si>
  <si>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</si>
  <si>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</si>
  <si>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</si>
  <si>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</si>
  <si>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</si>
  <si>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</si>
  <si>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</si>
  <si>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</si>
  <si>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</si>
  <si>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</si>
  <si>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</si>
  <si>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</si>
  <si>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</si>
  <si>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</si>
  <si>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</si>
  <si>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</si>
  <si>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</si>
  <si>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</si>
  <si>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</si>
  <si>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</si>
  <si>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</si>
  <si>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</si>
  <si>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</si>
  <si>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</si>
  <si>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</si>
  <si>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</si>
  <si>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</si>
  <si>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</si>
  <si>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</si>
  <si>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</si>
  <si>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</si>
  <si>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</si>
  <si>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</si>
  <si>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</si>
  <si>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</si>
  <si>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</si>
  <si>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</si>
  <si>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</si>
  <si>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</si>
  <si>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</si>
  <si>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</si>
  <si>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</si>
  <si>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</si>
  <si>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</si>
  <si>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</si>
  <si>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</si>
  <si>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</si>
  <si>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</si>
  <si>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</si>
  <si>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</si>
  <si>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</si>
  <si>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</si>
  <si>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</si>
  <si>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</si>
  <si>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</si>
  <si>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</si>
  <si>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</si>
  <si>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</si>
  <si>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</si>
  <si>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</si>
  <si>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</si>
  <si>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</si>
  <si>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</si>
  <si>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</si>
  <si>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</si>
  <si>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</si>
  <si>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</si>
  <si>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</si>
  <si>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</si>
  <si>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</si>
  <si>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</si>
  <si>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</si>
  <si>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</si>
  <si>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</si>
  <si>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</si>
  <si>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</si>
  <si>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</si>
  <si>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</si>
  <si>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</si>
  <si>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</si>
  <si>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</si>
  <si>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</si>
  <si>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</si>
  <si>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</si>
  <si>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</si>
  <si>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</si>
  <si>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</si>
  <si>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</si>
  <si>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</si>
  <si>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</si>
  <si>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</si>
  <si>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</si>
  <si>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</si>
  <si>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</si>
  <si>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</si>
  <si>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</si>
  <si>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</si>
  <si>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</si>
  <si>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</si>
  <si>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</si>
  <si>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</si>
  <si>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</si>
  <si>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</si>
  <si>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</si>
  <si>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</si>
  <si>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</si>
  <si>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</si>
  <si>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</si>
  <si>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</si>
  <si>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</si>
  <si>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</si>
  <si>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</si>
  <si>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</si>
  <si>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</si>
  <si>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</si>
  <si>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</si>
  <si>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</si>
  <si>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</si>
  <si>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</si>
  <si>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</si>
  <si>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</si>
  <si>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</si>
  <si>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</si>
  <si>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</si>
  <si>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</si>
  <si>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</si>
  <si>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</si>
  <si>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</si>
  <si>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</si>
  <si>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</si>
  <si>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</si>
  <si>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</si>
  <si>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</si>
  <si>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</si>
  <si>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</si>
  <si>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</si>
  <si>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</si>
  <si>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</si>
  <si>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</si>
  <si>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</si>
  <si>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</si>
  <si>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</si>
  <si>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</si>
  <si>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</si>
  <si>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</si>
  <si>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</si>
  <si>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</si>
  <si>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</si>
  <si>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</si>
  <si>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</si>
  <si>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</si>
  <si>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</si>
  <si>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</si>
  <si>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</si>
  <si>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</si>
  <si>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</si>
  <si>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</si>
  <si>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</si>
  <si>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</si>
  <si>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</si>
  <si>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</si>
  <si>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</si>
  <si>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</si>
  <si>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</si>
  <si>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</si>
  <si>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</si>
  <si>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</si>
  <si>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</si>
  <si>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</si>
  <si>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</si>
  <si>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</si>
  <si>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</si>
  <si>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</si>
  <si>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</si>
  <si>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</si>
  <si>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</si>
  <si>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</si>
  <si>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</si>
  <si>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</si>
  <si>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</si>
  <si>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</si>
  <si>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</si>
  <si>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</si>
  <si>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</si>
  <si>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</si>
  <si>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</si>
  <si>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</si>
  <si>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</si>
  <si>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</si>
  <si>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</si>
  <si>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</si>
  <si>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</si>
  <si>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</si>
  <si>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</si>
  <si>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</si>
  <si>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</si>
  <si>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</si>
  <si>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</si>
  <si>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</si>
  <si>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</si>
  <si>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</si>
  <si>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</si>
  <si>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</si>
  <si>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</si>
  <si>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</si>
  <si>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</si>
  <si>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</si>
  <si>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</si>
  <si>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</si>
  <si>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</si>
  <si>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</si>
  <si>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</si>
  <si>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</si>
  <si>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</si>
  <si>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</si>
  <si>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</si>
  <si>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</si>
  <si>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</si>
  <si>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</si>
  <si>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</si>
  <si>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</si>
  <si>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</si>
  <si>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</si>
  <si>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</si>
  <si>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</si>
  <si>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</si>
  <si>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</si>
  <si>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</si>
  <si>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</si>
  <si>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</si>
  <si>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</si>
  <si>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</si>
  <si>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</si>
  <si>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</si>
  <si>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</si>
  <si>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</si>
  <si>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</si>
  <si>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</si>
  <si>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</si>
  <si>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</si>
  <si>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</si>
  <si>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</si>
  <si>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</si>
  <si>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</si>
  <si>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</si>
  <si>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</si>
  <si>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</si>
  <si>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</si>
  <si>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</si>
  <si>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</si>
  <si>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</si>
  <si>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</si>
  <si>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</si>
  <si>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</si>
  <si>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</si>
  <si>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</si>
  <si>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</si>
  <si>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</si>
  <si>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</si>
  <si>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</si>
  <si>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</si>
  <si>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</si>
  <si>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</si>
  <si>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</si>
  <si>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</si>
  <si>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</si>
  <si>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</si>
  <si>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</si>
  <si>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</si>
  <si>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</si>
  <si>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</si>
  <si>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</si>
  <si>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</si>
  <si>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</si>
  <si>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</si>
  <si>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</si>
  <si>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</si>
  <si>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</si>
  <si>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</si>
  <si>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</si>
  <si>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</si>
  <si>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</si>
  <si>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</si>
  <si>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</si>
  <si>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</si>
  <si>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</si>
  <si>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</si>
  <si>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</si>
  <si>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</si>
  <si>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</si>
  <si>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</si>
  <si>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</si>
  <si>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</si>
  <si>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</si>
  <si>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</si>
  <si>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</si>
  <si>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</si>
  <si>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</si>
  <si>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</si>
  <si>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</si>
  <si>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</si>
  <si>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</si>
  <si>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</si>
  <si>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</si>
  <si>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</si>
  <si>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</si>
  <si>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</si>
  <si>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</si>
  <si>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</si>
  <si>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</si>
  <si>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</si>
  <si>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</si>
  <si>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</si>
  <si>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</si>
  <si>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</si>
  <si>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</si>
  <si>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</si>
  <si>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</si>
  <si>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</si>
  <si>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</si>
  <si>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</si>
  <si>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</si>
  <si>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</si>
  <si>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</si>
  <si>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</si>
  <si>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</si>
  <si>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</si>
  <si>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</si>
  <si>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</si>
  <si>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</si>
  <si>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</si>
  <si>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</si>
  <si>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</si>
  <si>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</si>
  <si>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</si>
  <si>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</si>
  <si>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</si>
  <si>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</si>
  <si>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</si>
  <si>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</si>
  <si>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</si>
  <si>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</si>
  <si>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</si>
  <si>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</si>
  <si>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</si>
  <si>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</si>
  <si>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</si>
  <si>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</si>
  <si>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</si>
  <si>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</si>
  <si>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</si>
  <si>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</si>
  <si>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</si>
  <si>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</si>
  <si>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</si>
  <si>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</si>
  <si>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</si>
  <si>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</si>
  <si>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</si>
  <si>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</si>
  <si>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</si>
  <si>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</si>
  <si>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</si>
  <si>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</si>
  <si>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</si>
  <si>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</si>
  <si>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</si>
  <si>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</si>
  <si>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</si>
  <si>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</si>
  <si>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</si>
  <si>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</si>
  <si>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</si>
  <si>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</si>
  <si>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</si>
  <si>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</si>
  <si>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</si>
  <si>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</si>
  <si>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</si>
  <si>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</si>
  <si>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</si>
  <si>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</si>
  <si>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</si>
  <si>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</si>
  <si>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</si>
  <si>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</si>
  <si>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</si>
  <si>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</si>
  <si>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</si>
  <si>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</si>
  <si>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</si>
  <si>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</si>
  <si>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</si>
  <si>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</si>
  <si>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</si>
  <si>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</si>
  <si>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</si>
  <si>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</si>
  <si>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</si>
  <si>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</si>
  <si>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</si>
  <si>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</si>
  <si>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</si>
  <si>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</si>
  <si>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</si>
  <si>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</si>
  <si>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</si>
  <si>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</si>
  <si>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</si>
  <si>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</si>
  <si>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</si>
  <si>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</si>
  <si>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</si>
  <si>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</si>
  <si>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</si>
  <si>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</si>
  <si>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</si>
  <si>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</si>
  <si>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</si>
  <si>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</si>
  <si>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</si>
  <si>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</si>
  <si>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</si>
  <si>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</si>
  <si>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</si>
  <si>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</si>
  <si>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</si>
  <si>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</si>
  <si>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</si>
  <si>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</si>
  <si>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</si>
  <si>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</si>
  <si>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</si>
  <si>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</si>
  <si>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</si>
  <si>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</si>
  <si>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</si>
  <si>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</si>
  <si>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</si>
  <si>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</si>
  <si>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</si>
  <si>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</si>
  <si>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</si>
  <si>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</si>
  <si>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</si>
  <si>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</si>
  <si>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</si>
  <si>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</si>
  <si>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</si>
  <si>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</si>
  <si>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</si>
  <si>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</si>
  <si>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</si>
  <si>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</si>
  <si>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</si>
  <si>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</si>
  <si>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</si>
  <si>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</si>
  <si>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</si>
  <si>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</si>
  <si>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</si>
  <si>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</si>
  <si>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</si>
  <si>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</si>
  <si>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</si>
  <si>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</si>
  <si>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</si>
  <si>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</si>
  <si>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</si>
  <si>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</si>
  <si>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</si>
  <si>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</si>
  <si>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</si>
  <si>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</si>
  <si>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</si>
  <si>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</si>
  <si>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</si>
  <si>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</si>
  <si>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</si>
  <si>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</si>
  <si>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</si>
  <si>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</si>
  <si>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</si>
  <si>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</si>
  <si>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</si>
  <si>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</si>
  <si>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</si>
  <si>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</si>
  <si>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</si>
  <si>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</si>
  <si>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</si>
  <si>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</si>
  <si>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</si>
  <si>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</si>
  <si>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</si>
  <si>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</si>
  <si>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</si>
  <si>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</si>
  <si>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</si>
  <si>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</si>
  <si>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</si>
  <si>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</si>
  <si>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</si>
  <si>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</si>
  <si>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</si>
  <si>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</si>
  <si>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</si>
  <si>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</si>
  <si>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</si>
  <si>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</si>
  <si>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</si>
  <si>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</si>
  <si>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</si>
  <si>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</si>
  <si>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</si>
  <si>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</si>
  <si>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</si>
  <si>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</si>
  <si>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</si>
  <si>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</si>
  <si>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</si>
  <si>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</si>
  <si>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</si>
  <si>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</si>
  <si>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</si>
  <si>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</si>
  <si>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</si>
  <si>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</si>
  <si>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</si>
  <si>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</si>
  <si>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</si>
  <si>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</si>
  <si>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</si>
  <si>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</si>
  <si>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</si>
  <si>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</si>
  <si>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</si>
  <si>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</si>
  <si>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</si>
  <si>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</si>
  <si>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</si>
  <si>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</si>
  <si>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</si>
  <si>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</si>
  <si>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</si>
  <si>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</si>
  <si>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</si>
  <si>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</si>
  <si>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</si>
  <si>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</si>
  <si>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</si>
  <si>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</si>
  <si>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</si>
  <si>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</si>
  <si>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</si>
  <si>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</si>
  <si>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</si>
  <si>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</si>
  <si>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</si>
  <si>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</si>
  <si>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</si>
  <si>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</si>
  <si>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</si>
  <si>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</si>
  <si>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</si>
  <si>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</si>
  <si>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</si>
  <si>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</si>
  <si>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</si>
  <si>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</si>
  <si>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</si>
  <si>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</si>
  <si>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</si>
  <si>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</si>
  <si>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</si>
  <si>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</si>
  <si>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</si>
  <si>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</si>
  <si>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</si>
  <si>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</si>
  <si>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</si>
  <si>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</si>
  <si>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</si>
  <si>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</si>
  <si>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</si>
  <si>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</si>
  <si>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</si>
  <si>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</si>
  <si>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</si>
  <si>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</si>
  <si>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</si>
  <si>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</si>
  <si>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</si>
  <si>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</si>
  <si>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</si>
  <si>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</si>
  <si>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</si>
  <si>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</si>
  <si>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</si>
  <si>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</si>
  <si>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</si>
  <si>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</si>
  <si>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</si>
  <si>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</si>
  <si>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</si>
  <si>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</si>
  <si>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</si>
  <si>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</si>
  <si>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</si>
  <si>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</si>
  <si>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</si>
  <si>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</si>
  <si>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</si>
  <si>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</si>
  <si>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</si>
  <si>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</si>
  <si>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</si>
  <si>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</si>
  <si>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</si>
  <si>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</si>
  <si>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</si>
  <si>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</si>
  <si>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</si>
  <si>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</si>
  <si>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</si>
  <si>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</si>
  <si>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</si>
  <si>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</si>
  <si>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</si>
  <si>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</si>
  <si>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</si>
  <si>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</si>
  <si>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</si>
  <si>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</si>
  <si>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</si>
  <si>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</si>
  <si>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</si>
  <si>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</si>
  <si>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</si>
  <si>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</si>
  <si>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</si>
  <si>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</si>
  <si>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</si>
  <si>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</si>
  <si>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</si>
  <si>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</si>
  <si>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</si>
  <si>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</si>
  <si>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</si>
  <si>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</si>
  <si>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</si>
  <si>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</si>
  <si>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</si>
  <si>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</si>
  <si>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</si>
  <si>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</si>
  <si>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</si>
  <si>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</si>
  <si>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</si>
  <si>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</si>
  <si>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</si>
  <si>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</si>
  <si>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</si>
  <si>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</si>
  <si>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</si>
  <si>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</si>
  <si>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</si>
  <si>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</si>
  <si>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</si>
  <si>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</si>
  <si>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</si>
  <si>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</si>
  <si>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</si>
  <si>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</si>
  <si>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</si>
  <si>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</si>
  <si>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</si>
  <si>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</si>
  <si>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</si>
  <si>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</si>
  <si>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</si>
  <si>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</si>
  <si>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</si>
  <si>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</si>
  <si>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</si>
  <si>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</si>
  <si>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</si>
  <si>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</si>
  <si>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</si>
  <si>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</si>
  <si>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</si>
  <si>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</si>
  <si>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</si>
  <si>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</si>
  <si>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</si>
  <si>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</si>
  <si>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</si>
  <si>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</si>
  <si>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</si>
  <si>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</si>
  <si>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</si>
  <si>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</si>
  <si>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</si>
  <si>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</si>
  <si>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</si>
  <si>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</si>
  <si>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</si>
  <si>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</si>
  <si>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</si>
  <si>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</si>
  <si>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</si>
  <si>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</si>
  <si>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</si>
  <si>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</si>
  <si>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</si>
  <si>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</si>
  <si>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</si>
  <si>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</si>
  <si>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</si>
  <si>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</si>
  <si>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</si>
  <si>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</si>
  <si>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</si>
  <si>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</si>
  <si>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</si>
  <si>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</si>
  <si>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</si>
  <si>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</si>
  <si>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</si>
  <si>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</si>
  <si>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</si>
  <si>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</si>
  <si>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</si>
  <si>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</si>
  <si>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</si>
  <si>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</si>
  <si>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</si>
  <si>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</si>
  <si>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</si>
  <si>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</si>
  <si>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</si>
  <si>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</si>
  <si>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</si>
  <si>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</si>
  <si>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</si>
  <si>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</si>
  <si>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</si>
  <si>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</si>
  <si>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</si>
  <si>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</si>
  <si>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</si>
  <si>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</si>
  <si>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</si>
  <si>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</si>
  <si>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</si>
  <si>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</si>
  <si>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</si>
  <si>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</si>
  <si>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</si>
  <si>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</si>
  <si>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</si>
  <si>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</si>
  <si>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</si>
  <si>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</si>
  <si>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</si>
  <si>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</si>
  <si>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</si>
  <si>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</si>
  <si>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</si>
  <si>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</si>
  <si>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</si>
  <si>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</si>
  <si>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</si>
  <si>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</si>
  <si>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</si>
  <si>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</si>
  <si>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</si>
  <si>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</si>
  <si>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</si>
  <si>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</si>
  <si>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</si>
  <si>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</si>
  <si>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</si>
  <si>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</si>
  <si>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</si>
  <si>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</si>
  <si>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</si>
  <si>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</si>
  <si>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</si>
  <si>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</si>
  <si>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</si>
  <si>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</si>
  <si>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</si>
  <si>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</si>
  <si>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</si>
  <si>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</si>
  <si>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</si>
  <si>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</si>
  <si>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</si>
  <si>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</si>
  <si>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</si>
  <si>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</si>
  <si>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</si>
  <si>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</si>
  <si>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</si>
  <si>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</si>
  <si>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</si>
  <si>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</si>
  <si>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</si>
  <si>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</si>
  <si>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</si>
  <si>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</si>
  <si>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</si>
  <si>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</si>
  <si>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</si>
  <si>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</si>
  <si>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</si>
  <si>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</si>
  <si>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</si>
  <si>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</si>
  <si>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</si>
  <si>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</si>
  <si>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</si>
  <si>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</si>
  <si>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</si>
  <si>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</si>
  <si>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</si>
  <si>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</si>
  <si>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</si>
  <si>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</si>
  <si>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</si>
  <si>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</si>
  <si>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</si>
  <si>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</si>
  <si>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</si>
  <si>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</si>
  <si>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</si>
  <si>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</si>
  <si>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</si>
  <si>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</si>
  <si>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</si>
  <si>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</si>
  <si>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</si>
  <si>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</si>
  <si>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</si>
  <si>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</si>
  <si>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</si>
  <si>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</si>
  <si>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</si>
  <si>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</si>
  <si>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</si>
  <si>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</si>
  <si>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</si>
  <si>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</si>
  <si>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</si>
  <si>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</si>
  <si>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</si>
  <si>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</si>
  <si>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</si>
  <si>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</si>
  <si>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</si>
  <si>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</si>
  <si>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</si>
  <si>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</si>
  <si>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</si>
  <si>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</si>
  <si>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</si>
  <si>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</si>
  <si>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</si>
  <si>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</si>
  <si>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</si>
  <si>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</si>
  <si>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</si>
  <si>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</si>
  <si>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</si>
  <si>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</si>
  <si>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</si>
  <si>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</si>
  <si>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</si>
  <si>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</si>
  <si>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</si>
  <si>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</si>
  <si>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</si>
  <si>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</si>
  <si>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</si>
  <si>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</si>
  <si>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</si>
  <si>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</si>
  <si>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</si>
  <si>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</si>
  <si>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</si>
  <si>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</si>
  <si>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</si>
  <si>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</si>
  <si>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</si>
  <si>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</si>
  <si>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</si>
  <si>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</si>
  <si>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</si>
  <si>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</si>
  <si>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</si>
  <si>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</si>
  <si>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</si>
  <si>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</si>
  <si>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</si>
  <si>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</si>
  <si>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</si>
  <si>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</si>
  <si>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</si>
  <si>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</si>
  <si>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</si>
  <si>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</si>
  <si>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</si>
  <si>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</si>
  <si>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</si>
  <si>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</si>
  <si>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</si>
  <si>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</si>
  <si>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</si>
  <si>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</si>
  <si>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</si>
  <si>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</si>
  <si>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</si>
  <si>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</si>
  <si>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</si>
  <si>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</si>
  <si>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</si>
  <si>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</si>
  <si>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</si>
  <si>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</si>
  <si>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</si>
  <si>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</si>
  <si>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</si>
  <si>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</si>
  <si>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</si>
  <si>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</si>
  <si>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</si>
  <si>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</si>
  <si>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</si>
  <si>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</si>
  <si>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</si>
  <si>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</si>
  <si>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</si>
  <si>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</si>
  <si>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</si>
  <si>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</si>
  <si>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</si>
  <si>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</si>
  <si>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</si>
  <si>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</si>
  <si>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</si>
  <si>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</si>
  <si>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</si>
  <si>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</si>
  <si>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</si>
  <si>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</si>
  <si>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</si>
  <si>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</si>
  <si>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</si>
  <si>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</si>
  <si>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</si>
  <si>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</si>
  <si>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</si>
  <si>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</si>
  <si>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</si>
  <si>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</si>
  <si>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</si>
  <si>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</si>
  <si>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</si>
  <si>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</si>
  <si>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</si>
  <si>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</si>
  <si>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</si>
  <si>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</si>
  <si>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</si>
  <si>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</si>
  <si>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</si>
  <si>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</si>
  <si>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</si>
  <si>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</si>
  <si>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</si>
  <si>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</si>
  <si>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</si>
  <si>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</si>
  <si>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</si>
  <si>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</si>
  <si>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</si>
  <si>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</si>
  <si>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</si>
  <si>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</si>
  <si>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</si>
  <si>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</si>
  <si>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</si>
  <si>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</si>
  <si>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</si>
  <si>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</si>
  <si>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</si>
  <si>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</si>
  <si>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</si>
  <si>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</si>
  <si>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</si>
  <si>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</si>
  <si>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</si>
  <si>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</si>
  <si>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</si>
  <si>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</si>
  <si>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</si>
  <si>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</si>
  <si>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</si>
  <si>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</si>
  <si>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</si>
  <si>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</si>
  <si>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</si>
  <si>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</si>
  <si>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</si>
  <si>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</si>
  <si>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</si>
  <si>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</si>
  <si>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</si>
  <si>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</si>
  <si>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</si>
  <si>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</si>
  <si>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</si>
  <si>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</si>
  <si>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</si>
  <si>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</si>
  <si>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</si>
  <si>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</si>
  <si>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</si>
  <si>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</si>
  <si>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</si>
  <si>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</si>
  <si>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</si>
  <si>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</si>
  <si>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</si>
  <si>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</si>
  <si>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</si>
  <si>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</si>
  <si>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</si>
  <si>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</si>
  <si>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</si>
  <si>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</si>
  <si>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</si>
  <si>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</si>
  <si>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</si>
  <si>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</si>
  <si>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</si>
  <si>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</si>
  <si>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</si>
  <si>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</si>
  <si>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</si>
  <si>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</si>
  <si>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</si>
  <si>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</si>
  <si>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</si>
  <si>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</si>
  <si>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</si>
  <si>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</si>
  <si>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</si>
  <si>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</si>
  <si>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</si>
  <si>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</si>
  <si>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</si>
  <si>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</si>
  <si>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</si>
  <si>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</si>
  <si>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</si>
  <si>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</si>
  <si>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</si>
  <si>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</si>
  <si>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</si>
  <si>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</si>
  <si>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</si>
  <si>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</si>
  <si>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</si>
  <si>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</si>
  <si>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</si>
  <si>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</si>
  <si>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</si>
  <si>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</si>
  <si>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</si>
  <si>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</si>
  <si>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</si>
  <si>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</si>
  <si>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</si>
  <si>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</si>
  <si>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</si>
  <si>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</si>
  <si>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</si>
  <si>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</si>
  <si>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</si>
  <si>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</si>
  <si>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</si>
  <si>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</si>
  <si>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</si>
  <si>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</si>
  <si>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</si>
  <si>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</si>
  <si>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</si>
  <si>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</si>
  <si>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</si>
  <si>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</si>
  <si>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</si>
  <si>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</si>
  <si>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</si>
  <si>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</si>
  <si>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</si>
  <si>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</si>
  <si>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</si>
  <si>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</si>
  <si>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</si>
  <si>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</si>
  <si>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</si>
  <si>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</si>
  <si>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</si>
  <si>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</si>
  <si>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</si>
  <si>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</si>
  <si>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</si>
  <si>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</si>
  <si>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</si>
  <si>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</si>
  <si>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</si>
  <si>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</si>
  <si>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</si>
  <si>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</si>
  <si>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</si>
  <si>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</si>
  <si>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</si>
  <si>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</si>
  <si>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</si>
  <si>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</si>
  <si>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</si>
  <si>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</si>
  <si>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</si>
  <si>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</si>
  <si>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</si>
  <si>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</si>
  <si>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</si>
  <si>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</si>
  <si>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</si>
  <si>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</si>
  <si>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</si>
  <si>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</si>
  <si>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</si>
  <si>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</si>
  <si>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</si>
  <si>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</si>
  <si>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</si>
  <si>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</si>
  <si>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</si>
  <si>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XIAMEN ZETTLER ELECTRONICS CO.,LTD.</t>
    <phoneticPr fontId="4" type="noConversion"/>
  </si>
  <si>
    <t>LCM MODULE</t>
    <phoneticPr fontId="4" type="noConversion"/>
  </si>
  <si>
    <t>76174644-8</t>
    <phoneticPr fontId="4" type="noConversion"/>
  </si>
  <si>
    <t>No.6 Xinjing Road, Xinyang Industrial Zone, Haicang District, Xiamen, China</t>
    <phoneticPr fontId="4" type="noConversion"/>
  </si>
  <si>
    <t>cuidanfang</t>
    <phoneticPr fontId="4" type="noConversion"/>
  </si>
  <si>
    <t>DCC@zettlercn.com</t>
    <phoneticPr fontId="4" type="noConversion"/>
  </si>
  <si>
    <t>0086-592-2631729</t>
    <phoneticPr fontId="4" type="noConversion"/>
  </si>
  <si>
    <t>Fufa Li</t>
    <phoneticPr fontId="4" type="noConversion"/>
  </si>
  <si>
    <t>Quality manager</t>
    <phoneticPr fontId="4" type="noConversion"/>
  </si>
  <si>
    <t>lifufa@zettlercn.com</t>
    <phoneticPr fontId="4" type="noConversion"/>
  </si>
  <si>
    <t>+86 592 2650911</t>
    <phoneticPr fontId="4" type="noConversion"/>
  </si>
  <si>
    <t>http://www.zettlercn.com/</t>
    <phoneticPr fontId="4" type="noConversion"/>
  </si>
  <si>
    <t>CID000211</t>
    <phoneticPr fontId="123"/>
  </si>
  <si>
    <t>CFSI</t>
  </si>
  <si>
    <t>CID002180</t>
    <phoneticPr fontId="123"/>
  </si>
  <si>
    <t>CID000801</t>
    <phoneticPr fontId="123"/>
  </si>
</sst>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宋体"/>
      <family val="3"/>
      <charset val="128"/>
      <scheme val="minor"/>
    </font>
    <font>
      <sz val="10"/>
      <color rgb="FFFF0000"/>
      <name val="Verdana"/>
      <family val="2"/>
    </font>
    <font>
      <u/>
      <sz val="12"/>
      <color indexed="12"/>
      <name val="宋体"/>
      <family val="3"/>
      <charset val="128"/>
      <scheme val="major"/>
    </font>
    <font>
      <sz val="12"/>
      <name val="宋体"/>
      <family val="3"/>
      <charset val="128"/>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charset val="128"/>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amily val="2"/>
      <charset val="128"/>
    </font>
    <font>
      <u/>
      <sz val="10"/>
      <color indexed="12"/>
      <name val="宋体"/>
      <family val="3"/>
      <charset val="134"/>
      <scheme val="major"/>
    </font>
    <font>
      <sz val="10"/>
      <name val="宋体"/>
      <family val="3"/>
      <charset val="134"/>
      <scheme val="major"/>
    </font>
    <font>
      <sz val="6"/>
      <name val="ＭＳ Ｐゴシック"/>
      <family val="2"/>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xf numFmtId="0" fontId="81" fillId="0" borderId="0" applyNumberFormat="0" applyFill="0" applyBorder="0" applyAlignment="0" applyProtection="0"/>
    <xf numFmtId="180" fontId="80"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80" fontId="86" fillId="0" borderId="0"/>
    <xf numFmtId="0" fontId="6" fillId="0" borderId="0"/>
    <xf numFmtId="0" fontId="6" fillId="0" borderId="0"/>
    <xf numFmtId="180"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80" fontId="86" fillId="0" borderId="0"/>
    <xf numFmtId="0" fontId="5" fillId="0" borderId="0"/>
    <xf numFmtId="180" fontId="6" fillId="0" borderId="0"/>
    <xf numFmtId="0" fontId="69" fillId="0" borderId="0"/>
    <xf numFmtId="0" fontId="69" fillId="0" borderId="0"/>
    <xf numFmtId="180" fontId="5" fillId="0" borderId="0"/>
    <xf numFmtId="0" fontId="69" fillId="0" borderId="0"/>
    <xf numFmtId="0" fontId="5" fillId="0" borderId="0"/>
    <xf numFmtId="0" fontId="69" fillId="0" borderId="0"/>
    <xf numFmtId="0" fontId="87" fillId="0" borderId="0">
      <alignment vertical="center"/>
    </xf>
    <xf numFmtId="180"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80" fontId="86" fillId="0" borderId="0"/>
    <xf numFmtId="180"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80" fontId="10" fillId="0" borderId="0"/>
    <xf numFmtId="0" fontId="6" fillId="0" borderId="0"/>
    <xf numFmtId="0" fontId="6" fillId="0" borderId="0"/>
    <xf numFmtId="0" fontId="6" fillId="0" borderId="0"/>
    <xf numFmtId="180" fontId="6" fillId="0" borderId="0"/>
  </cellStyleXfs>
  <cellXfs count="452">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80"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2"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80"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80" fontId="0" fillId="2" borderId="4" xfId="0" applyNumberFormat="1" applyFont="1" applyFill="1" applyBorder="1" applyAlignment="1">
      <alignment vertical="top" wrapText="1"/>
    </xf>
    <xf numFmtId="180" fontId="0" fillId="2" borderId="0" xfId="0" applyNumberFormat="1" applyFont="1" applyFill="1" applyBorder="1" applyAlignment="1"/>
    <xf numFmtId="180" fontId="9" fillId="2" borderId="0" xfId="0" applyNumberFormat="1" applyFont="1" applyFill="1" applyBorder="1"/>
    <xf numFmtId="180" fontId="14" fillId="2" borderId="0" xfId="0" applyNumberFormat="1" applyFont="1" applyFill="1" applyBorder="1" applyAlignment="1">
      <alignment horizontal="center" vertical="center" wrapText="1"/>
    </xf>
    <xf numFmtId="180" fontId="11" fillId="2" borderId="0" xfId="0" applyNumberFormat="1" applyFont="1" applyFill="1" applyBorder="1" applyAlignment="1">
      <alignment horizontal="center" vertical="center"/>
    </xf>
    <xf numFmtId="180" fontId="0" fillId="2" borderId="0" xfId="0" applyNumberFormat="1" applyFont="1" applyFill="1" applyBorder="1"/>
    <xf numFmtId="180" fontId="27" fillId="2" borderId="11"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82"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2" fillId="0" borderId="0" xfId="0" applyFont="1"/>
    <xf numFmtId="49" fontId="0" fillId="0" borderId="0" xfId="0" applyNumberFormat="1" applyFont="1" applyFill="1" applyAlignment="1">
      <alignment vertical="center"/>
    </xf>
    <xf numFmtId="0" fontId="105" fillId="0" borderId="0" xfId="0" applyFont="1" applyAlignment="1">
      <alignment vertical="top" wrapText="1"/>
    </xf>
    <xf numFmtId="0" fontId="106" fillId="0" borderId="0" xfId="0" applyFont="1" applyAlignment="1">
      <alignment vertical="top" wrapText="1"/>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horizontal="left" vertical="top" wrapText="1"/>
    </xf>
    <xf numFmtId="0" fontId="110" fillId="0" borderId="0" xfId="0" applyFont="1" applyAlignment="1">
      <alignment vertical="top" wrapText="1"/>
    </xf>
    <xf numFmtId="9" fontId="108" fillId="0" borderId="0" xfId="0" applyNumberFormat="1" applyFont="1" applyAlignment="1">
      <alignment horizontal="left" vertical="top" wrapText="1"/>
    </xf>
    <xf numFmtId="0" fontId="109"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4" fillId="36" borderId="65" xfId="502" applyNumberFormat="1" applyFont="1" applyFill="1" applyBorder="1" applyAlignment="1">
      <alignment vertical="center" wrapText="1"/>
    </xf>
    <xf numFmtId="0" fontId="104"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4"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3" fillId="36" borderId="65" xfId="0" applyFont="1" applyFill="1" applyBorder="1" applyAlignment="1">
      <alignment vertical="center" wrapText="1"/>
    </xf>
    <xf numFmtId="180" fontId="96" fillId="0" borderId="0" xfId="480" applyFont="1" applyFill="1" applyAlignment="1">
      <alignment horizontal="left" vertical="top" wrapText="1"/>
    </xf>
    <xf numFmtId="180"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80" fontId="96" fillId="0" borderId="0" xfId="480" applyFont="1" applyFill="1" applyAlignment="1">
      <alignment vertical="top" wrapText="1"/>
    </xf>
    <xf numFmtId="180" fontId="97" fillId="0" borderId="0" xfId="480" applyFont="1" applyFill="1" applyAlignment="1">
      <alignment horizontal="left" vertical="top" wrapText="1"/>
    </xf>
    <xf numFmtId="9" fontId="116"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6" fillId="0" borderId="0" xfId="502" applyFont="1" applyFill="1" applyAlignment="1">
      <alignment horizontal="justify" vertical="top"/>
    </xf>
    <xf numFmtId="0" fontId="97" fillId="0" borderId="0" xfId="502" applyFont="1" applyFill="1" applyBorder="1" applyAlignment="1">
      <alignment horizontal="left" vertical="top" wrapText="1"/>
    </xf>
    <xf numFmtId="0" fontId="117" fillId="0" borderId="0" xfId="502" applyFont="1" applyFill="1" applyBorder="1" applyAlignment="1">
      <alignment horizontal="left" vertical="top" wrapText="1"/>
    </xf>
    <xf numFmtId="0" fontId="116" fillId="0" borderId="0" xfId="502" applyFont="1" applyFill="1" applyAlignment="1">
      <alignment horizontal="left" vertical="top" wrapText="1"/>
    </xf>
    <xf numFmtId="180" fontId="96" fillId="0" borderId="0" xfId="480" applyFont="1" applyFill="1" applyAlignment="1" applyProtection="1">
      <alignment horizontal="left" vertical="top" wrapText="1"/>
    </xf>
    <xf numFmtId="180" fontId="96" fillId="0" borderId="0" xfId="480" applyFont="1" applyFill="1" applyBorder="1" applyAlignment="1">
      <alignment vertical="top" wrapText="1"/>
    </xf>
    <xf numFmtId="180" fontId="96" fillId="0" borderId="0" xfId="480" applyFont="1" applyFill="1" applyAlignment="1" applyProtection="1">
      <alignment horizontal="left" vertical="top" wrapText="1"/>
      <protection hidden="1"/>
    </xf>
    <xf numFmtId="0" fontId="120" fillId="0" borderId="0" xfId="527" applyFont="1" applyFill="1" applyAlignment="1">
      <alignment horizontal="left" vertical="top" wrapText="1"/>
    </xf>
    <xf numFmtId="180" fontId="6" fillId="0" borderId="0" xfId="480"/>
    <xf numFmtId="0" fontId="112" fillId="0" borderId="0" xfId="0" applyFont="1" applyFill="1" applyAlignment="1">
      <alignment vertical="top" wrapText="1"/>
    </xf>
    <xf numFmtId="0" fontId="0" fillId="2" borderId="65" xfId="0" applyFill="1"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hidden="1"/>
    </xf>
    <xf numFmtId="0" fontId="0" fillId="0" borderId="65" xfId="0" applyFont="1" applyBorder="1" applyAlignment="1" applyProtection="1">
      <alignment vertical="center" wrapText="1"/>
      <protection locked="0" hidden="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80" fontId="25" fillId="0" borderId="42" xfId="570" applyNumberFormat="1" applyFont="1" applyFill="1" applyBorder="1" applyAlignment="1">
      <alignment horizontal="center" vertical="top" wrapText="1"/>
    </xf>
    <xf numFmtId="180" fontId="25" fillId="0" borderId="43" xfId="570" applyNumberFormat="1" applyFont="1" applyFill="1" applyBorder="1" applyAlignment="1">
      <alignment horizontal="center" vertical="top" wrapText="1"/>
    </xf>
    <xf numFmtId="180"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80" fontId="25" fillId="2" borderId="42" xfId="570" applyNumberFormat="1" applyFont="1" applyFill="1" applyBorder="1" applyAlignment="1">
      <alignment horizontal="center" vertical="top" wrapText="1"/>
    </xf>
    <xf numFmtId="180" fontId="25" fillId="2" borderId="43" xfId="570" applyNumberFormat="1" applyFont="1" applyFill="1" applyBorder="1" applyAlignment="1">
      <alignment horizontal="center" vertical="top" wrapText="1"/>
    </xf>
    <xf numFmtId="180"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81" fontId="14" fillId="2" borderId="25" xfId="0" applyNumberFormat="1" applyFont="1" applyFill="1" applyBorder="1" applyAlignment="1" applyProtection="1">
      <alignment horizontal="center" wrapText="1"/>
      <protection locked="0" hidden="1"/>
    </xf>
    <xf numFmtId="181"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2"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21" fillId="2" borderId="52" xfId="487" applyFont="1" applyFill="1" applyBorder="1" applyAlignment="1" applyProtection="1">
      <alignment horizontal="left" vertical="center" wrapText="1"/>
      <protection locked="0"/>
    </xf>
    <xf numFmtId="0" fontId="122" fillId="2" borderId="1" xfId="0" applyFont="1" applyFill="1" applyBorder="1" applyAlignment="1" applyProtection="1">
      <alignment horizontal="left" vertical="center" wrapText="1"/>
      <protection locked="0"/>
    </xf>
    <xf numFmtId="0" fontId="122"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left" vertical="center" wrapText="1"/>
      <protection locked="0" hidden="1"/>
    </xf>
    <xf numFmtId="0" fontId="15" fillId="2" borderId="53" xfId="0"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1" fillId="2" borderId="52" xfId="487" applyNumberFormat="1" applyFont="1" applyFill="1" applyBorder="1" applyAlignment="1" applyProtection="1">
      <alignment horizontal="left" vertical="center" wrapText="1"/>
      <protection locked="0" hidden="1"/>
    </xf>
    <xf numFmtId="49" fontId="101" fillId="2" borderId="1" xfId="487" applyNumberFormat="1" applyFont="1" applyFill="1" applyBorder="1" applyAlignment="1" applyProtection="1">
      <alignment horizontal="left" vertical="center" wrapText="1"/>
      <protection locked="0" hidden="1"/>
    </xf>
    <xf numFmtId="49" fontId="101"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0" fillId="0" borderId="25" xfId="487" applyFont="1" applyFill="1" applyBorder="1" applyAlignment="1" applyProtection="1">
      <alignment horizontal="left" vertical="center" wrapText="1"/>
      <protection hidden="1"/>
    </xf>
    <xf numFmtId="0" fontId="100" fillId="0" borderId="18" xfId="487" applyFont="1" applyFill="1" applyBorder="1" applyAlignment="1" applyProtection="1">
      <alignment horizontal="left" vertical="center" wrapText="1"/>
      <protection hidden="1"/>
    </xf>
    <xf numFmtId="0" fontId="100"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78">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0000"/>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7"/>
      <c r="B2" s="38" t="s">
        <v>975</v>
      </c>
      <c r="C2" s="36"/>
      <c r="D2" s="227"/>
      <c r="E2" s="3"/>
      <c r="F2" s="36"/>
      <c r="G2" s="34"/>
    </row>
    <row r="3" spans="1:7">
      <c r="A3" s="357"/>
      <c r="B3" s="5" t="s">
        <v>964</v>
      </c>
      <c r="C3" s="6"/>
      <c r="D3" s="228"/>
      <c r="E3" s="3"/>
      <c r="F3" s="6"/>
      <c r="G3" s="34"/>
    </row>
    <row r="4" spans="1:7" ht="15.75">
      <c r="A4" s="357"/>
      <c r="B4" s="41" t="s">
        <v>977</v>
      </c>
      <c r="C4" s="7"/>
      <c r="D4" s="229"/>
      <c r="E4" s="3"/>
      <c r="F4" s="7"/>
      <c r="G4" s="34"/>
    </row>
    <row r="5" spans="1:7">
      <c r="A5" s="357"/>
      <c r="B5" s="40" t="s">
        <v>1169</v>
      </c>
      <c r="C5" s="4"/>
      <c r="D5" s="230"/>
      <c r="E5" s="3"/>
      <c r="F5" s="4"/>
      <c r="G5" s="34"/>
    </row>
    <row r="6" spans="1:7">
      <c r="A6" s="357"/>
      <c r="B6" s="8"/>
      <c r="C6" s="8"/>
      <c r="D6" s="231"/>
      <c r="E6" s="8"/>
      <c r="F6" s="8"/>
      <c r="G6" s="34"/>
    </row>
    <row r="7" spans="1:7">
      <c r="A7" s="357"/>
      <c r="B7" s="8"/>
      <c r="C7" s="8"/>
      <c r="D7" s="231"/>
      <c r="E7" s="8"/>
      <c r="F7" s="8"/>
      <c r="G7" s="34"/>
    </row>
    <row r="8" spans="1:7">
      <c r="A8" s="357"/>
      <c r="B8" s="8"/>
      <c r="C8" s="8"/>
      <c r="D8" s="231"/>
      <c r="E8" s="8"/>
      <c r="F8" s="8"/>
      <c r="G8" s="34"/>
    </row>
    <row r="9" spans="1:7">
      <c r="A9" s="357"/>
      <c r="B9" s="360" t="s">
        <v>978</v>
      </c>
      <c r="C9" s="360"/>
      <c r="D9" s="360"/>
      <c r="E9" s="360"/>
      <c r="F9" s="360"/>
      <c r="G9" s="34"/>
    </row>
    <row r="10" spans="1:7" ht="27" customHeight="1">
      <c r="A10" s="357"/>
      <c r="B10" s="361" t="s">
        <v>511</v>
      </c>
      <c r="C10" s="361"/>
      <c r="D10" s="361"/>
      <c r="E10" s="361"/>
      <c r="F10" s="361"/>
      <c r="G10" s="34"/>
    </row>
    <row r="11" spans="1:7" ht="27" customHeight="1">
      <c r="A11" s="357"/>
      <c r="B11" s="362"/>
      <c r="C11" s="362"/>
      <c r="D11" s="362"/>
      <c r="E11" s="362"/>
      <c r="F11" s="362"/>
      <c r="G11" s="34"/>
    </row>
    <row r="12" spans="1:7">
      <c r="A12" s="357"/>
      <c r="B12" s="42" t="s">
        <v>976</v>
      </c>
      <c r="C12" s="43" t="s">
        <v>979</v>
      </c>
      <c r="D12" s="232" t="s">
        <v>980</v>
      </c>
      <c r="E12" s="43" t="s">
        <v>706</v>
      </c>
      <c r="F12" s="43" t="s">
        <v>707</v>
      </c>
      <c r="G12" s="34"/>
    </row>
    <row r="13" spans="1:7" ht="33.75">
      <c r="A13" s="357"/>
      <c r="B13" s="2">
        <v>1</v>
      </c>
      <c r="C13" s="37" t="s">
        <v>1220</v>
      </c>
      <c r="D13" s="39" t="s">
        <v>1004</v>
      </c>
      <c r="E13" s="214" t="s">
        <v>981</v>
      </c>
      <c r="F13" s="214"/>
      <c r="G13" s="34"/>
    </row>
    <row r="14" spans="1:7" ht="33.75">
      <c r="A14" s="357"/>
      <c r="B14" s="2">
        <v>2</v>
      </c>
      <c r="C14" s="37" t="s">
        <v>1220</v>
      </c>
      <c r="D14" s="39" t="s">
        <v>1154</v>
      </c>
      <c r="E14" s="214" t="s">
        <v>607</v>
      </c>
      <c r="F14" s="214" t="s">
        <v>608</v>
      </c>
      <c r="G14" s="34"/>
    </row>
    <row r="15" spans="1:7" ht="89.1" customHeight="1">
      <c r="A15" s="357"/>
      <c r="B15" s="363">
        <v>2.0099999999999998</v>
      </c>
      <c r="C15" s="354" t="s">
        <v>1220</v>
      </c>
      <c r="D15" s="366" t="s">
        <v>2745</v>
      </c>
      <c r="E15" s="215" t="s">
        <v>708</v>
      </c>
      <c r="F15" s="215" t="s">
        <v>711</v>
      </c>
      <c r="G15" s="34"/>
    </row>
    <row r="16" spans="1:7" ht="99" customHeight="1">
      <c r="A16" s="357"/>
      <c r="B16" s="364"/>
      <c r="C16" s="355"/>
      <c r="D16" s="367"/>
      <c r="E16" s="216"/>
      <c r="F16" s="216" t="s">
        <v>709</v>
      </c>
      <c r="G16" s="34"/>
    </row>
    <row r="17" spans="1:7" ht="63" customHeight="1">
      <c r="A17" s="357"/>
      <c r="B17" s="365"/>
      <c r="C17" s="356"/>
      <c r="D17" s="368"/>
      <c r="E17" s="37"/>
      <c r="F17" s="37" t="s">
        <v>710</v>
      </c>
      <c r="G17" s="34"/>
    </row>
    <row r="18" spans="1:7" ht="117" customHeight="1">
      <c r="A18" s="357"/>
      <c r="B18" s="363">
        <v>2.02</v>
      </c>
      <c r="C18" s="354" t="s">
        <v>1220</v>
      </c>
      <c r="D18" s="366" t="s">
        <v>2746</v>
      </c>
      <c r="E18" s="215" t="s">
        <v>512</v>
      </c>
      <c r="F18" s="215" t="s">
        <v>601</v>
      </c>
      <c r="G18" s="34"/>
    </row>
    <row r="19" spans="1:7" ht="71.099999999999994" customHeight="1">
      <c r="A19" s="357"/>
      <c r="B19" s="364"/>
      <c r="C19" s="355"/>
      <c r="D19" s="367"/>
      <c r="E19" s="216" t="s">
        <v>606</v>
      </c>
      <c r="F19" s="216" t="s">
        <v>513</v>
      </c>
      <c r="G19" s="34"/>
    </row>
    <row r="20" spans="1:7" ht="90.75" customHeight="1">
      <c r="A20" s="357"/>
      <c r="B20" s="364"/>
      <c r="C20" s="355"/>
      <c r="D20" s="367"/>
      <c r="E20" s="216"/>
      <c r="F20" s="216" t="s">
        <v>713</v>
      </c>
      <c r="G20" s="34"/>
    </row>
    <row r="21" spans="1:7" ht="74.25" customHeight="1">
      <c r="A21" s="357"/>
      <c r="B21" s="365"/>
      <c r="C21" s="356"/>
      <c r="D21" s="368"/>
      <c r="E21" s="37"/>
      <c r="F21" s="37" t="s">
        <v>712</v>
      </c>
      <c r="G21" s="34"/>
    </row>
    <row r="22" spans="1:7" ht="90" customHeight="1">
      <c r="A22" s="357"/>
      <c r="B22" s="348">
        <v>2.0299999999999998</v>
      </c>
      <c r="C22" s="348" t="s">
        <v>947</v>
      </c>
      <c r="D22" s="351" t="s">
        <v>2747</v>
      </c>
      <c r="E22" s="354" t="s">
        <v>510</v>
      </c>
      <c r="F22" s="215" t="s">
        <v>534</v>
      </c>
      <c r="G22" s="34"/>
    </row>
    <row r="23" spans="1:7" ht="109.5" customHeight="1">
      <c r="A23" s="357"/>
      <c r="B23" s="349"/>
      <c r="C23" s="349"/>
      <c r="D23" s="352"/>
      <c r="E23" s="355"/>
      <c r="F23" s="216" t="s">
        <v>948</v>
      </c>
      <c r="G23" s="34"/>
    </row>
    <row r="24" spans="1:7" ht="74.25" customHeight="1">
      <c r="A24" s="357"/>
      <c r="B24" s="350"/>
      <c r="C24" s="350"/>
      <c r="D24" s="353"/>
      <c r="E24" s="356"/>
      <c r="F24" s="37" t="s">
        <v>509</v>
      </c>
      <c r="G24" s="34"/>
    </row>
    <row r="25" spans="1:7" ht="72" customHeight="1">
      <c r="A25" s="357"/>
      <c r="B25" s="2" t="s">
        <v>532</v>
      </c>
      <c r="C25" s="37" t="s">
        <v>533</v>
      </c>
      <c r="D25" s="39" t="s">
        <v>2748</v>
      </c>
      <c r="E25" s="37" t="s">
        <v>2741</v>
      </c>
      <c r="F25" s="37" t="s">
        <v>535</v>
      </c>
      <c r="G25" s="34"/>
    </row>
    <row r="26" spans="1:7" ht="98.1" customHeight="1">
      <c r="A26" s="357"/>
      <c r="B26" s="369">
        <v>3</v>
      </c>
      <c r="C26" s="363" t="s">
        <v>79</v>
      </c>
      <c r="D26" s="366" t="s">
        <v>2749</v>
      </c>
      <c r="E26" s="354" t="s">
        <v>0</v>
      </c>
      <c r="F26" s="215" t="s">
        <v>73</v>
      </c>
      <c r="G26" s="34"/>
    </row>
    <row r="27" spans="1:7" ht="90" customHeight="1">
      <c r="A27" s="357"/>
      <c r="B27" s="370"/>
      <c r="C27" s="364"/>
      <c r="D27" s="367"/>
      <c r="E27" s="355"/>
      <c r="F27" s="216" t="s">
        <v>68</v>
      </c>
      <c r="G27" s="34"/>
    </row>
    <row r="28" spans="1:7" ht="19.350000000000001" customHeight="1">
      <c r="A28" s="357"/>
      <c r="B28" s="370"/>
      <c r="C28" s="364"/>
      <c r="D28" s="367"/>
      <c r="E28" s="355"/>
      <c r="F28" s="216" t="s">
        <v>69</v>
      </c>
      <c r="G28" s="34"/>
    </row>
    <row r="29" spans="1:7" ht="74.45" customHeight="1">
      <c r="A29" s="357"/>
      <c r="B29" s="370"/>
      <c r="C29" s="364"/>
      <c r="D29" s="367"/>
      <c r="E29" s="355"/>
      <c r="F29" s="216" t="s">
        <v>70</v>
      </c>
      <c r="G29" s="34"/>
    </row>
    <row r="30" spans="1:7" ht="62.45" customHeight="1">
      <c r="A30" s="357"/>
      <c r="B30" s="370"/>
      <c r="C30" s="364"/>
      <c r="D30" s="367"/>
      <c r="E30" s="355"/>
      <c r="F30" s="216" t="s">
        <v>71</v>
      </c>
      <c r="G30" s="34"/>
    </row>
    <row r="31" spans="1:7" ht="81" customHeight="1">
      <c r="A31" s="357"/>
      <c r="B31" s="370"/>
      <c r="C31" s="364"/>
      <c r="D31" s="367"/>
      <c r="E31" s="355"/>
      <c r="F31" s="216" t="s">
        <v>72</v>
      </c>
      <c r="G31" s="34"/>
    </row>
    <row r="32" spans="1:7" ht="48.75" customHeight="1">
      <c r="A32" s="357"/>
      <c r="B32" s="370"/>
      <c r="C32" s="364"/>
      <c r="D32" s="367"/>
      <c r="E32" s="355"/>
      <c r="F32" s="216" t="s">
        <v>75</v>
      </c>
      <c r="G32" s="34"/>
    </row>
    <row r="33" spans="1:7" ht="98.45" customHeight="1">
      <c r="A33" s="357"/>
      <c r="B33" s="370"/>
      <c r="C33" s="364"/>
      <c r="D33" s="367"/>
      <c r="E33" s="355"/>
      <c r="F33" s="216" t="s">
        <v>74</v>
      </c>
      <c r="G33" s="34"/>
    </row>
    <row r="34" spans="1:7" ht="89.1" customHeight="1">
      <c r="A34" s="357"/>
      <c r="B34" s="370"/>
      <c r="C34" s="364"/>
      <c r="D34" s="367"/>
      <c r="E34" s="355"/>
      <c r="F34" s="216" t="s">
        <v>76</v>
      </c>
      <c r="G34" s="34"/>
    </row>
    <row r="35" spans="1:7" ht="29.1" customHeight="1">
      <c r="A35" s="357"/>
      <c r="B35" s="370"/>
      <c r="C35" s="364"/>
      <c r="D35" s="367"/>
      <c r="E35" s="355"/>
      <c r="F35" s="216" t="s">
        <v>77</v>
      </c>
      <c r="G35" s="34"/>
    </row>
    <row r="36" spans="1:7" ht="126.75">
      <c r="A36" s="357"/>
      <c r="B36" s="371"/>
      <c r="C36" s="365"/>
      <c r="D36" s="368"/>
      <c r="E36" s="356"/>
      <c r="F36" s="217" t="s">
        <v>78</v>
      </c>
      <c r="G36" s="34"/>
    </row>
    <row r="37" spans="1:7" ht="112.5">
      <c r="A37" s="357"/>
      <c r="B37" s="176">
        <v>3.01</v>
      </c>
      <c r="C37" s="177" t="s">
        <v>79</v>
      </c>
      <c r="D37" s="39" t="s">
        <v>2750</v>
      </c>
      <c r="E37" s="218" t="s">
        <v>1475</v>
      </c>
      <c r="F37" s="219" t="s">
        <v>1602</v>
      </c>
      <c r="G37" s="34"/>
    </row>
    <row r="38" spans="1:7" ht="101.25">
      <c r="A38" s="357"/>
      <c r="B38" s="176">
        <v>3.02</v>
      </c>
      <c r="C38" s="177" t="s">
        <v>1509</v>
      </c>
      <c r="D38" s="39" t="s">
        <v>2751</v>
      </c>
      <c r="E38" s="218" t="s">
        <v>1524</v>
      </c>
      <c r="F38" s="219" t="s">
        <v>1603</v>
      </c>
      <c r="G38" s="34"/>
    </row>
    <row r="39" spans="1:7" ht="101.25">
      <c r="A39" s="357"/>
      <c r="B39" s="192">
        <v>4</v>
      </c>
      <c r="C39" s="191" t="s">
        <v>1782</v>
      </c>
      <c r="D39" s="39" t="s">
        <v>2752</v>
      </c>
      <c r="E39" s="37" t="s">
        <v>2680</v>
      </c>
      <c r="F39" s="37" t="s">
        <v>1783</v>
      </c>
      <c r="G39" s="34"/>
    </row>
    <row r="40" spans="1:7" ht="56.25">
      <c r="A40" s="357"/>
      <c r="B40" s="176">
        <v>4.01</v>
      </c>
      <c r="C40" s="191" t="s">
        <v>1782</v>
      </c>
      <c r="D40" s="39" t="s">
        <v>2754</v>
      </c>
      <c r="E40" s="37" t="s">
        <v>2700</v>
      </c>
      <c r="F40" s="37" t="s">
        <v>2706</v>
      </c>
      <c r="G40" s="34"/>
    </row>
    <row r="41" spans="1:7" ht="56.25">
      <c r="A41" s="357"/>
      <c r="B41" s="176" t="s">
        <v>2739</v>
      </c>
      <c r="C41" s="191" t="s">
        <v>1782</v>
      </c>
      <c r="D41" s="39" t="s">
        <v>2753</v>
      </c>
      <c r="E41" s="37" t="s">
        <v>2742</v>
      </c>
      <c r="F41" s="37" t="s">
        <v>2740</v>
      </c>
      <c r="G41" s="34"/>
    </row>
    <row r="42" spans="1:7" ht="56.25">
      <c r="A42" s="357"/>
      <c r="B42" s="176" t="s">
        <v>2791</v>
      </c>
      <c r="C42" s="191" t="s">
        <v>1782</v>
      </c>
      <c r="D42" s="39" t="s">
        <v>2962</v>
      </c>
      <c r="E42" s="37" t="s">
        <v>2741</v>
      </c>
      <c r="F42" s="37" t="s">
        <v>2792</v>
      </c>
      <c r="G42" s="34"/>
    </row>
    <row r="43" spans="1:7" ht="123.75">
      <c r="A43" s="357"/>
      <c r="B43" s="208">
        <v>4.0999999999999996</v>
      </c>
      <c r="C43" s="191" t="s">
        <v>2961</v>
      </c>
      <c r="D43" s="209">
        <v>42867</v>
      </c>
      <c r="E43" s="220" t="s">
        <v>2964</v>
      </c>
      <c r="F43" s="37" t="s">
        <v>2963</v>
      </c>
      <c r="G43" s="34"/>
    </row>
    <row r="44" spans="1:7" ht="78.75">
      <c r="A44" s="357"/>
      <c r="B44" s="208">
        <v>4.2</v>
      </c>
      <c r="C44" s="191" t="s">
        <v>2961</v>
      </c>
      <c r="D44" s="209">
        <v>42704</v>
      </c>
      <c r="E44" s="220" t="s">
        <v>3219</v>
      </c>
      <c r="F44" s="37" t="s">
        <v>3184</v>
      </c>
      <c r="G44" s="34"/>
    </row>
    <row r="45" spans="1:7" ht="157.5">
      <c r="A45" s="357"/>
      <c r="B45" s="287">
        <v>5</v>
      </c>
      <c r="C45" s="191" t="s">
        <v>2961</v>
      </c>
      <c r="D45" s="209">
        <v>42867</v>
      </c>
      <c r="E45" s="220" t="s">
        <v>14011</v>
      </c>
      <c r="F45" s="37" t="s">
        <v>13595</v>
      </c>
      <c r="G45" s="34"/>
    </row>
    <row r="46" spans="1:7" ht="45">
      <c r="A46" s="357"/>
      <c r="B46" s="208">
        <v>5.01</v>
      </c>
      <c r="C46" s="191" t="s">
        <v>2961</v>
      </c>
      <c r="D46" s="209">
        <v>42907</v>
      </c>
      <c r="E46" s="220" t="s">
        <v>14067</v>
      </c>
      <c r="F46" s="37" t="s">
        <v>13595</v>
      </c>
      <c r="G46" s="34"/>
    </row>
    <row r="47" spans="1:7" ht="67.5">
      <c r="A47" s="357"/>
      <c r="B47" s="208">
        <v>5.0999999999999996</v>
      </c>
      <c r="C47" s="191" t="s">
        <v>2961</v>
      </c>
      <c r="D47" s="209">
        <v>43070</v>
      </c>
      <c r="E47" s="220" t="s">
        <v>14293</v>
      </c>
      <c r="F47" s="37" t="s">
        <v>14294</v>
      </c>
      <c r="G47" s="34"/>
    </row>
    <row r="48" spans="1:7" ht="56.25">
      <c r="A48" s="357"/>
      <c r="B48" s="208">
        <v>5.1100000000000003</v>
      </c>
      <c r="C48" s="191" t="s">
        <v>14574</v>
      </c>
      <c r="D48" s="209">
        <v>43217</v>
      </c>
      <c r="E48" s="220" t="s">
        <v>14720</v>
      </c>
      <c r="F48" s="37" t="s">
        <v>14615</v>
      </c>
      <c r="G48" s="34"/>
    </row>
    <row r="49" spans="1:7" ht="13.5" thickBot="1">
      <c r="A49" s="358"/>
      <c r="B49" s="359" t="str">
        <f ca="1">OFFSET(L!$C$1,MATCH("General"&amp;"Cpy",L!$A:$A,0)-1,SL,,)</f>
        <v>© 2018 Responsible Minerals Initiative。保留所有权利。</v>
      </c>
      <c r="C49" s="359"/>
      <c r="D49" s="359"/>
      <c r="E49" s="359"/>
      <c r="F49" s="359"/>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51"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网址：(www.responsiblemineralsinitiative.org) 培训和指导、模板、负责任矿物审验流程合规冶炼厂列表。</v>
      </c>
      <c r="B1" s="119" t="s">
        <v>515</v>
      </c>
    </row>
    <row r="2" spans="1:2" ht="30">
      <c r="A2" s="129" t="str">
        <f ca="1">OFFSET(L!$C$1,MATCH("Instructions"&amp;ADDRESS(ROW(),COLUMN(),4),L!$A:$A,0)-1,SL,,)</f>
        <v>介绍</v>
      </c>
      <c r="B2" s="119" t="s">
        <v>1449</v>
      </c>
    </row>
    <row r="3" spans="1:2" ht="181.5" customHeight="1">
      <c r="A3" s="126"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v>
      </c>
      <c r="B3" s="119" t="s">
        <v>1450</v>
      </c>
    </row>
    <row r="4" spans="1:2" ht="150">
      <c r="A4" s="126" t="str">
        <f ca="1">OFFSET(L!$C$1,MATCH("Instructions"&amp;ADDRESS(ROW(),COLUMN(),4),L!$A:$A,0)-1,SL,,)</f>
        <v>*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v>
      </c>
      <c r="B4" s="119" t="s">
        <v>1456</v>
      </c>
    </row>
    <row r="5" spans="1:2" ht="15">
      <c r="A5" s="130"/>
      <c r="B5" s="119"/>
    </row>
    <row r="6" spans="1:2" ht="30">
      <c r="A6" s="129" t="str">
        <f ca="1">OFFSET(L!$C$1,MATCH("Instructions"&amp;ADDRESS(ROW(),COLUMN(),4),L!$A:$A,0)-1,SL,,)</f>
        <v>公司信息的填写说明（第 8 至 22 行）。
请仅以英文作答</v>
      </c>
      <c r="B6" s="119" t="s">
        <v>1449</v>
      </c>
    </row>
    <row r="7" spans="1:2" ht="15">
      <c r="A7" s="126" t="str">
        <f ca="1">OFFSET(L!$C$1,MATCH("Instructions"&amp;ADDRESS(ROW(),COLUMN(),4),L!$A:$A,0)-1,SL,,)</f>
        <v>注：带星号 (*) 的字段为必填。</v>
      </c>
      <c r="B7" s="119"/>
    </row>
    <row r="8" spans="1:2" ht="15">
      <c r="A8" s="126" t="str">
        <f ca="1">OFFSET(L!$C$1,MATCH("Instructions"&amp;ADDRESS(ROW(),COLUMN(),4),L!$A:$A,0)-1,SL,,)</f>
        <v>1. 插入贵公司的法定名称。请勿使用缩写。在此字段中，您可以选择添加其他商业名称、营业名称等。</v>
      </c>
      <c r="B8" s="119"/>
    </row>
    <row r="9" spans="1:2" ht="376.5" customHeight="1">
      <c r="A9" s="185"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v>
      </c>
      <c r="B9" s="119" t="s">
        <v>1448</v>
      </c>
    </row>
    <row r="10" spans="1:2" ht="36" customHeight="1">
      <c r="A10" s="126" t="str">
        <f ca="1">OFFSET(L!$C$1,MATCH("Instructions"&amp;ADDRESS(ROW(),COLUMN(),4),L!$A:$A,0)-1,SL,,)</f>
        <v>3. 插入贵公司的唯一识别序号或编号（DUNS 号码、VAT 号码、客户特定识别码等）</v>
      </c>
      <c r="B10" s="119"/>
    </row>
    <row r="11" spans="1:2" ht="35.25" customHeight="1">
      <c r="A11" s="126" t="str">
        <f ca="1">OFFSET(L!$C$1,MATCH("Instructions"&amp;ADDRESS(ROW(),COLUMN(),4),L!$A:$A,0)-1,SL,,)</f>
        <v>4. 插入唯一识别序号或代码出处（例如“DUNS”、“VAT”、“客户”等）</v>
      </c>
      <c r="B11" s="119"/>
    </row>
    <row r="12" spans="1:2" ht="30">
      <c r="A12" s="126" t="str">
        <f ca="1">OFFSET(L!$C$1,MATCH("Instructions"&amp;ADDRESS(ROW(),COLUMN(),4),L!$A:$A,0)-1,SL,,)</f>
        <v>5. 插入贵公司的完整地址（街道、城市、州、国家或地区、邮政编码）。此为必填字段。</v>
      </c>
      <c r="B12" s="119" t="s">
        <v>1449</v>
      </c>
    </row>
    <row r="13" spans="1:2" ht="33.75" customHeight="1">
      <c r="A13" s="126" t="str">
        <f ca="1">OFFSET(L!$C$1,MATCH("Instructions"&amp;ADDRESS(ROW(),COLUMN(),4),L!$A:$A,0)-1,SL,,)</f>
        <v>6. 插入对此申报信息内容负责的联系人姓名。此为必填字段。</v>
      </c>
      <c r="B13" s="119"/>
    </row>
    <row r="14" spans="1:2" ht="15">
      <c r="A14" s="126" t="str">
        <f ca="1">OFFSET(L!$C$1,MATCH("Instructions"&amp;ADDRESS(ROW(),COLUMN(),4),L!$A:$A,0)-1,SL,,)</f>
        <v>7. 插入联系人的电子邮件地址。如果没有电子邮件地址，请说明“无”或“不适用”。如留空此字段，会导致此表格出错。此为必填字段。</v>
      </c>
      <c r="B14" s="119"/>
    </row>
    <row r="15" spans="1:2" ht="15">
      <c r="A15" s="126" t="str">
        <f ca="1">OFFSET(L!$C$1,MATCH("Instructions"&amp;ADDRESS(ROW(),COLUMN(),4),L!$A:$A,0)-1,SL,,)</f>
        <v>8. 插入联系人的电话号码。此为必填字段。</v>
      </c>
      <c r="B15" s="119"/>
    </row>
    <row r="16" spans="1:2" ht="15">
      <c r="A16" s="126" t="str">
        <f ca="1">OFFSET(L!$C$1,MATCH("Instructions"&amp;ADDRESS(ROW(),COLUMN(),4),L!$A:$A,0)-1,SL,,)</f>
        <v xml:space="preserve">9. 插入负责申报信息内容的人员姓名。授权人可能与联系人不同。请勿填写“相同”或相似信息，而需提供授权人的姓名。此为必填字段。 </v>
      </c>
      <c r="B16" s="119"/>
    </row>
    <row r="17" spans="1:2" ht="15">
      <c r="A17" s="126" t="str">
        <f ca="1">OFFSET(L!$C$1,MATCH("Instructions"&amp;ADDRESS(ROW(),COLUMN(),4),L!$A:$A,0)-1,SL,,)</f>
        <v>10. 输入授权人的职位。 此为选填字段。</v>
      </c>
      <c r="B17" s="119"/>
    </row>
    <row r="18" spans="1:2" ht="15">
      <c r="A18" s="126" t="str">
        <f ca="1">OFFSET(L!$C$1,MATCH("Instructions"&amp;ADDRESS(ROW(),COLUMN(),4),L!$A:$A,0)-1,SL,,)</f>
        <v>11.  输入授权人的电子邮件地址。如果没有电子邮件地址，请声明“无”或“不适用”。如留空此字段，会导致表格出错。此为必填字段。</v>
      </c>
      <c r="B18" s="119"/>
    </row>
    <row r="19" spans="1:2" ht="15">
      <c r="A19" s="126" t="str">
        <f ca="1">OFFSET(L!$C$1,MATCH("Instructions"&amp;ADDRESS(ROW(),COLUMN(),4),L!$A:$A,0)-1,SL,,)</f>
        <v>12. 插入授权人的电话号码。此为必填字段。</v>
      </c>
      <c r="B19" s="119"/>
    </row>
    <row r="20" spans="1:2" ht="33.75" customHeight="1">
      <c r="A20" s="126" t="str">
        <f ca="1">OFFSET(L!$C$1,MATCH("Instructions"&amp;ADDRESS(ROW(),COLUMN(),4),L!$A:$A,0)-1,SL,,)</f>
        <v>13. 请使用“日-月-年”的格式输入申报日期。此为必填字段。</v>
      </c>
      <c r="B20" s="119"/>
    </row>
    <row r="21" spans="1:2" ht="30">
      <c r="A21" s="126" t="str">
        <f ca="1">OFFSET(L!$C$1,MATCH("Instructions"&amp;ADDRESS(ROW(),COLUMN(),4),L!$A:$A,0)-1,SL,,)</f>
        <v>14. 例如，用户应将文件名保存为“公司名-日期.xls”（日期格式为年-月-日）。</v>
      </c>
      <c r="B21" s="119" t="s">
        <v>1449</v>
      </c>
    </row>
    <row r="22" spans="1:2" ht="15">
      <c r="A22" s="130"/>
      <c r="B22" s="119"/>
    </row>
    <row r="23" spans="1:2" ht="30">
      <c r="A23" s="129" t="str">
        <f ca="1">OFFSET(L!$C$1,MATCH("Instructions"&amp;ADDRESS(ROW(),COLUMN(),4),L!$A:$A,0)-1,SL,,)</f>
        <v>七道尽职调查问题的填写指南（第 24 至 65 行）。
请仅以英文作答</v>
      </c>
      <c r="B23" s="119" t="s">
        <v>1449</v>
      </c>
    </row>
    <row r="24" spans="1:2" ht="45">
      <c r="A24" s="126" t="str">
        <f ca="1">OFFSET(L!$C$1,MATCH("Instructions"&amp;ADDRESS(ROW(),COLUMN(),4),L!$A:$A,0)-1,SL,,)</f>
        <v>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19" t="s">
        <v>1452</v>
      </c>
    </row>
    <row r="25" spans="1:2" ht="30">
      <c r="A25" s="126" t="str">
        <f ca="1">OFFSET(L!$C$1,MATCH("Instructions"&amp;ADDRESS(ROW(),COLUMN(),4),L!$A:$A,0)-1,SL,,)</f>
        <v>对于七道必答题，请使用下拉菜单选项，为每种金属提供答复。所有 3TG 都必须完成此部分中的问题。如果给定金属之问题 1 的回答为肯定，则须完成该金属的后续问题，并应完成关于公司总体尽职调查项目的后续尽职调查问题（A 至 I）。</v>
      </c>
      <c r="B25" s="119" t="s">
        <v>1449</v>
      </c>
    </row>
    <row r="26" spans="1:2" ht="276.75" customHeight="1">
      <c r="A26" s="126"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v>
      </c>
      <c r="B26" s="119" t="s">
        <v>1449</v>
      </c>
    </row>
    <row r="27" spans="1:2" ht="30">
      <c r="A27" s="126" t="str">
        <f ca="1">OFFSET(L!$C$1,MATCH("Instructions"&amp;ADDRESS(ROW(),COLUMN(),4),L!$A:$A,0)-1,SL,,)</f>
        <v xml:space="preserve">如果回答为“否”，某些公司需要进一步求证，请在注释栏中详细说明。 </v>
      </c>
      <c r="B27" s="119" t="s">
        <v>1449</v>
      </c>
    </row>
    <row r="28" spans="1:2" ht="247.5" customHeight="1">
      <c r="A28" s="126"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v>
      </c>
      <c r="B28" s="119"/>
    </row>
    <row r="29" spans="1:2" ht="105">
      <c r="A29" s="126"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v>
      </c>
      <c r="B29" s="119" t="s">
        <v>1449</v>
      </c>
    </row>
    <row r="30" spans="1:2" ht="153" customHeight="1">
      <c r="A30" s="126" t="str">
        <f ca="1">OFFSET(L!$C$1,MATCH("Instructions"&amp;ADDRESS(ROW(),COLUMN(),4),L!$A:$A,0)-1,SL,,)</f>
        <v>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v>
      </c>
      <c r="B30" s="119" t="s">
        <v>1449</v>
      </c>
    </row>
    <row r="31" spans="1:2" ht="165">
      <c r="A31" s="126" t="str">
        <f ca="1">OFFSET(L!$C$1,MATCH("Instructions"&amp;ADDRESS(ROW(),COLUMN(),4),L!$A:$A,0)-1,SL,,)</f>
        <v>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v>
      </c>
      <c r="B31" s="119" t="s">
        <v>1452</v>
      </c>
    </row>
    <row r="32" spans="1:2" ht="60">
      <c r="A32" s="126" t="str">
        <f ca="1">OFFSET(L!$C$1,MATCH("Instructions"&amp;ADDRESS(ROW(),COLUMN(),4),L!$A:$A,0)-1,SL,,)</f>
        <v>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v>
      </c>
      <c r="B32" s="119"/>
    </row>
    <row r="33" spans="1:2" ht="30">
      <c r="A33" s="126" t="str">
        <f ca="1">OFFSET(L!$C$1,MATCH("Instructions"&amp;ADDRESS(ROW(),COLUMN(),4),L!$A:$A,0)-1,SL,,)</f>
        <v>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3" s="119" t="s">
        <v>1449</v>
      </c>
    </row>
    <row r="34" spans="1:2" ht="15">
      <c r="A34" s="126" t="str">
        <f ca="1">OFFSET(L!$C$1,MATCH("Instructions"&amp;ADDRESS(ROW(),COLUMN(),4),L!$A:$A,0)-1,SL,,)</f>
        <v>在注释部分提供您的意见，以进一步说明您的回答。</v>
      </c>
      <c r="B34" s="119"/>
    </row>
    <row r="35" spans="1:2" ht="15">
      <c r="A35" s="130"/>
      <c r="B35" s="119"/>
    </row>
    <row r="36" spans="1:2" ht="30">
      <c r="A36" s="129" t="str">
        <f ca="1">OFFSET(L!$C$1,MATCH("Instructions"&amp;ADDRESS(ROW(),COLUMN(),4),L!$A:$A,0)-1,SL,,)</f>
        <v>完成问题 A 至 I 的说明（第 69 至 86 行）。如果问题 1 和 2 就任何金属的回答为“是”，必须回答问题 A 至 I。
请仅以英文作答</v>
      </c>
      <c r="B36" s="119" t="s">
        <v>1449</v>
      </c>
    </row>
    <row r="37" spans="1:2" ht="135">
      <c r="A37" s="126"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v>
      </c>
      <c r="B37" s="119" t="s">
        <v>1451</v>
      </c>
    </row>
    <row r="38" spans="1:2" ht="45">
      <c r="A38" s="126" t="str">
        <f ca="1">OFFSET(L!$C$1,MATCH("Instructions"&amp;ADDRESS(ROW(),COLUMN(),4),L!$A:$A,0)-1,SL,,)</f>
        <v>A. 这是披露公司是否具有冲突矿产采购政策的申报。请以“是”或“否”来回答此问题。须在问题注释字段提供说明。
此问题必须作答。</v>
      </c>
      <c r="B38" s="119"/>
    </row>
    <row r="39" spans="1:2" ht="60">
      <c r="A39" s="126" t="str">
        <f ca="1">OFFSET(L!$C$1,MATCH("Instructions"&amp;ADDRESS(ROW(),COLUMN(),4),L!$A:$A,0)-1,SL,,)</f>
        <v>B. 这是披露公司的冲突矿产采购政策是否可在公司网站上获取的申报。请以“是”或“否”来回答此问题。如果回答“是”，用户应当在问题注释字段指出 URL。
此问题必须作答。</v>
      </c>
      <c r="B39" s="119"/>
    </row>
    <row r="40" spans="1:2" ht="75">
      <c r="A40" s="126" t="str">
        <f ca="1">OFFSET(L!$C$1,MATCH("Instructions"&amp;ADDRESS(ROW(),COLUMN(),4),L!$A:$A,0)-1,SL,,)</f>
        <v>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v>
      </c>
      <c r="B40" s="119" t="s">
        <v>1454</v>
      </c>
    </row>
    <row r="41" spans="1:2" ht="45">
      <c r="A41" s="126" t="str">
        <f ca="1">OFFSET(L!$C$1,MATCH("Instructions"&amp;ADDRESS(ROW(),COLUMN(),4),L!$A:$A,0)-1,SL,,)</f>
        <v>D. 此申报是要确定公司要求直接供应商从经过验证的无冲突矿产的冶炼厂处采购 3TG。请以“是”或“否”来回答此问题。须在问题注释字段提供说明。
此问题必须作答。</v>
      </c>
      <c r="B41" s="119" t="s">
        <v>1452</v>
      </c>
    </row>
    <row r="42" spans="1:2" ht="120">
      <c r="A42" s="126" t="str">
        <f ca="1">OFFSET(L!$C$1,MATCH("Instructions"&amp;ADDRESS(ROW(),COLUMN(),4),L!$A:$A,0)-1,SL,,)</f>
        <v>E. 请答复“是”或“否”，以披露贵公司是否已实施冲突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无冲突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v>
      </c>
      <c r="B42" s="119" t="s">
        <v>1453</v>
      </c>
    </row>
    <row r="43" spans="1:2" ht="120">
      <c r="A43" s="126" t="str">
        <f ca="1">OFFSET(L!$C$1,MATCH("Instructions"&amp;ADDRESS(ROW(),COLUMN(),4),L!$A:$A,0)-1,SL,,)</f>
        <v>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v>
      </c>
      <c r="B43" s="119" t="s">
        <v>1449</v>
      </c>
    </row>
    <row r="44" spans="1:2" ht="120">
      <c r="A44" s="126" t="str">
        <f ca="1">OFFSET(L!$C$1,MATCH("Instructions"&amp;ADDRESS(ROW(),COLUMN(),4),L!$A:$A,0)-1,SL,,)</f>
        <v>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v>
      </c>
      <c r="B44" s="119" t="s">
        <v>1450</v>
      </c>
    </row>
    <row r="45" spans="1:2" ht="30">
      <c r="A45" s="126" t="str">
        <f ca="1">OFFSET(L!$C$1,MATCH("Instructions"&amp;ADDRESS(ROW(),COLUMN(),4),L!$A:$A,0)-1,SL,,)</f>
        <v>I. 此问题是要披露公司是否受 SEC 规则规限。请以“是”或“否”来回答此问题。须在问题注释字段提供说明。此问题必须作答。要了解更多信息，请参见 www.sec.gov。</v>
      </c>
      <c r="B45" s="119" t="s">
        <v>1449</v>
      </c>
    </row>
    <row r="46" spans="1:2" ht="45">
      <c r="A46" s="126" t="str">
        <f ca="1">OFFSET(L!$C$1,MATCH("Instructions"&amp;ADDRESS(ROW(),COLUMN(),4),L!$A:$A,0)-1,SL,,)</f>
        <v>I. 此问题是要披露公司是否受 SEC 规则规限。请以“是”或“否”来回答此问题。须在问题注释字段提供说明。此问题必须作答。要了解更多信息，请参见 www.sec.gov。</v>
      </c>
      <c r="B46" s="119" t="s">
        <v>1452</v>
      </c>
    </row>
    <row r="47" spans="1:2" ht="15">
      <c r="A47" s="130"/>
      <c r="B47" s="119"/>
    </row>
    <row r="48" spans="1:2" ht="30">
      <c r="A48" s="129" t="str">
        <f ca="1">OFFSET(L!$C$1,MATCH("Instructions"&amp;ADDRESS(ROW(),COLUMN(),4),L!$A:$A,0)-1,SL,,)</f>
        <v>注：带星号 (*) 列表示必填字段。</v>
      </c>
      <c r="B48" s="119" t="s">
        <v>1449</v>
      </c>
    </row>
    <row r="49" spans="1:2" ht="30">
      <c r="A49" s="126" t="str">
        <f ca="1">OFFSET(L!$C$1,MATCH("Instructions"&amp;ADDRESS(ROW(),COLUMN(),4),L!$A:$A,0)-1,SL,,)</f>
        <v>此模板允许使用冶炼厂查找来识别具体的冶炼厂。必须按从左到右的顺序填写 B 列和 C 列，以使用冶炼厂查找功能。
对于各金属/冶炼厂/国家或地区组合，应使用分割线。</v>
      </c>
      <c r="B49" s="119"/>
    </row>
    <row r="50" spans="1:2" ht="60">
      <c r="A50" s="126" t="str">
        <f ca="1">OFFSET(L!$C$1,MATCH("Instructions"&amp;ADDRESS(ROW(),COLUMN(),4),L!$A:$A,0)-1,SL,,)</f>
        <v>1. 冶炼厂识别输入列 - 如果您知道冶炼厂识别号码，请在 A 列输入号码（B、C、E、F、G、I 和 J 列将自动填入）。A 列不会自动填入。</v>
      </c>
      <c r="B50" s="119" t="s">
        <v>1448</v>
      </c>
    </row>
    <row r="51" spans="1:2" ht="30">
      <c r="A51" s="126" t="str">
        <f ca="1">OFFSET(L!$C$1,MATCH("Instructions"&amp;ADDRESS(ROW(),COLUMN(),4),L!$A:$A,0)-1,SL,,)</f>
        <v>21. 金属 (*) - 在下拉菜单中，选择正在输入信息的冶炼厂所提炼的金属。 此为必填字段。</v>
      </c>
      <c r="B51" s="119" t="s">
        <v>1449</v>
      </c>
    </row>
    <row r="52" spans="1:2" ht="45">
      <c r="A52" s="126"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2" s="119"/>
    </row>
    <row r="53" spans="1:2" ht="30">
      <c r="A53" s="199" t="str">
        <f ca="1">OFFSET(L!$C$1,MATCH("Instructions"&amp;ADDRESS(ROW(),COLUMN(),4),L!$A:$A,0)-1,SL,,)</f>
        <v>4. 冶炼厂名称 (1) - 如果选择 C 列中的冶炼厂名称，请填写冶炼厂的名称。如果选择 C 列中的“冶炼厂未列出”，此字段将自动填入。此为必填字段。</v>
      </c>
      <c r="B53" s="119" t="s">
        <v>1449</v>
      </c>
    </row>
    <row r="54" spans="1:2" ht="60">
      <c r="A54" s="126"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4" s="119" t="s">
        <v>1448</v>
      </c>
    </row>
    <row r="55" spans="1:2" ht="75">
      <c r="A55" s="126"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5" s="119" t="s">
        <v>1454</v>
      </c>
    </row>
    <row r="56" spans="1:2" ht="60">
      <c r="A56" s="126" t="str">
        <f ca="1">OFFSET(L!$C$1,MATCH("Instructions"&amp;ADDRESS(ROW(),COLUMN(),4),L!$A:$A,0)-1,SL,,)</f>
        <v xml:space="preserve">7. 冶炼厂识别号码 - F 列包括所有的冶炼厂识别号码。 如果在 C 列中使用下拉框选择冶炼厂名称，此字段会自动填入。 </v>
      </c>
      <c r="B56" s="119" t="s">
        <v>1448</v>
      </c>
    </row>
    <row r="57" spans="1:2" ht="60">
      <c r="A57" s="126" t="str">
        <f ca="1">OFFSET(L!$C$1,MATCH("Instructions"&amp;ADDRESS(ROW(),COLUMN(),4),L!$A:$A,0)-1,SL,,)</f>
        <v>8. 冶炼厂所在街道 - 提供冶炼厂所在街道的名称。此为选填字段。</v>
      </c>
      <c r="B57" s="119" t="s">
        <v>1448</v>
      </c>
    </row>
    <row r="58" spans="1:2" ht="60">
      <c r="A58" s="126" t="str">
        <f ca="1">OFFSET(L!$C$1,MATCH("Instructions"&amp;ADDRESS(ROW(),COLUMN(),4),L!$A:$A,0)-1,SL,,)</f>
        <v>9. 冶炼厂所在城市 - 提供冶炼厂所在城市的名称。此为选填字段。</v>
      </c>
      <c r="B58" s="119" t="s">
        <v>1448</v>
      </c>
    </row>
    <row r="59" spans="1:2" ht="30">
      <c r="A59" s="126" t="str">
        <f ca="1">OFFSET(L!$C$1,MATCH("Instructions"&amp;ADDRESS(ROW(),COLUMN(),4),L!$A:$A,0)-1,SL,,)</f>
        <v>10. 冶炼厂地点：州/省（如适用）- 提供冶炼厂所在的州/省。此为选填字段。</v>
      </c>
      <c r="B59" s="119" t="s">
        <v>1449</v>
      </c>
    </row>
    <row r="60" spans="1:2" ht="198.75" customHeight="1">
      <c r="A60" s="126"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0" s="119" t="s">
        <v>1452</v>
      </c>
    </row>
    <row r="61" spans="1:2" ht="45">
      <c r="A61" s="126" t="str">
        <f ca="1">OFFSET(L!$C$1,MATCH("Instructions"&amp;ADDRESS(ROW(),COLUMN(),4),L!$A:$A,0)-1,SL,,)</f>
        <v xml:space="preserve">12. 冶炼厂联系人电子邮件 - 填写被确定为冶炼厂联系人的电子邮件。例如： John.Smith@SmelterXXX.com。填写此字段栏前，请阅读冶炼厂联系人姓名填写指引。 </v>
      </c>
      <c r="B61" s="119" t="s">
        <v>1452</v>
      </c>
    </row>
    <row r="62" spans="1:2" ht="75">
      <c r="A62" s="126"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v>
      </c>
      <c r="B62" s="119" t="s">
        <v>1448</v>
      </c>
    </row>
    <row r="63" spans="1:2" ht="75">
      <c r="A63" s="126"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v>
      </c>
      <c r="B63" s="119" t="s">
        <v>1448</v>
      </c>
    </row>
    <row r="64" spans="1:2" ht="75">
      <c r="A64" s="126" t="str">
        <f ca="1">OFFSET(L!$C$1,MATCH("Instructions"&amp;ADDRESS(ROW(),COLUMN(),4),L!$A:$A,0)-1,SL,,)</f>
        <v>15. 表明冶炼厂是否仅从回收料或报废料资源中获取冶炼过程的来料。此为选答问题。本问题允许的回答包括：
- 是
- 否
- 未知</v>
      </c>
      <c r="B64" s="119"/>
    </row>
    <row r="65" spans="1:2" ht="15">
      <c r="A65" s="126" t="str">
        <f ca="1">OFFSET(L!$C$1,MATCH("Instructions"&amp;ADDRESS(ROW(),COLUMN(),4),L!$A:$A,0)-1,SL,,)</f>
        <v>17. 注释 - 无格式限制的文字栏，可输入有关冶炼厂的任何意见。例如：冶炼厂正在被 YYY 公司收购</v>
      </c>
      <c r="B65" s="119"/>
    </row>
    <row r="66" spans="1:2" ht="110.25" customHeight="1">
      <c r="A66" s="126" t="str">
        <f ca="1">OFFSET(L!$C$1,MATCH("Instructions"&amp;ADDRESS(ROW(),COLUMN(),4),L!$A:$A,0)-1,SL,,)</f>
        <v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v>
      </c>
      <c r="B66" s="119"/>
    </row>
    <row r="67" spans="1:2" s="28" customFormat="1" ht="15">
      <c r="A67" s="131"/>
      <c r="B67" s="119"/>
    </row>
    <row r="68" spans="1:2" s="28" customFormat="1" ht="153" customHeight="1">
      <c r="A68" s="129" t="str">
        <f ca="1">OFFSET(L!$C$1,MATCH("Instructions"&amp;ADDRESS(ROW(),COLUMN(),4),L!$A:$A,0)-1,SL,,)</f>
        <v>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v>
      </c>
      <c r="B68" s="119"/>
    </row>
    <row r="69" spans="1:2" s="28" customFormat="1" ht="15">
      <c r="A69" s="131"/>
      <c r="B69" s="119"/>
    </row>
    <row r="70" spans="1:2" ht="45">
      <c r="A70" s="129"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v>
      </c>
      <c r="B70" s="119" t="s">
        <v>1449</v>
      </c>
    </row>
    <row r="71" spans="1:2" ht="165">
      <c r="A71" s="126"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v>
      </c>
      <c r="B71" s="119" t="s">
        <v>1455</v>
      </c>
    </row>
    <row r="72" spans="1:2" ht="90">
      <c r="A72" s="126"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2" s="119" t="s">
        <v>1453</v>
      </c>
    </row>
    <row r="73" spans="1:2" ht="75">
      <c r="A73" s="126" t="str">
        <f ca="1">OFFSET(L!$C$1,MATCH("Instructions"&amp;ADDRESS(ROW(),COLUMN(),4),L!$A:$A,0)-1,SL,,)</f>
        <v>通过登入和使用该列表或任何工具，并经过考量，该用户同意上述条款。</v>
      </c>
      <c r="B73" s="119" t="s">
        <v>1454</v>
      </c>
    </row>
    <row r="74" spans="1:2" ht="30">
      <c r="A74" s="126"/>
      <c r="B74" s="119" t="s">
        <v>514</v>
      </c>
    </row>
    <row r="75" spans="1:2" ht="15">
      <c r="A75" s="126" t="str">
        <f ca="1">OFFSET(L!$C$1,MATCH("General"&amp;"Cpy",L!$A:$A,0)-1,SL,,)</f>
        <v>© 2018 Responsible Minerals Initiative。保留所有权利。</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72"/>
      <c r="B1" s="373"/>
      <c r="C1" s="373"/>
      <c r="D1" s="374"/>
    </row>
    <row r="2" spans="1:5" ht="71.25" customHeight="1">
      <c r="A2" s="91"/>
      <c r="B2" s="172">
        <f ca="1">OFFSET(L!$C$1,MATCH("Definitions"&amp;ADDRESS(ROW(),COLUMN(),4),L!$A:$A,0)-1,SL,,)</f>
        <v>0</v>
      </c>
      <c r="C2" s="172">
        <f ca="1">OFFSET(L!$C$1,MATCH("Definitions"&amp;ADDRESS(ROW(),COLUMN(),4),L!$A:$A,0)-1,SL,,)</f>
        <v>0</v>
      </c>
      <c r="D2" s="376"/>
      <c r="E2" s="132"/>
    </row>
    <row r="3" spans="1:5" ht="63.95" customHeight="1">
      <c r="A3" s="91"/>
      <c r="B3" s="78" t="str">
        <f ca="1">OFFSET(L!$C$1,MATCH("Definitions"&amp;ADDRESS(ROW(),COLUMN(),4),L!$A:$A,0)-1,SL,,)</f>
        <v>3TG 是钽 (Tantalum)、锡 (Tin)、钨 (Tungsten)、金 (Gold) 的缩写</v>
      </c>
      <c r="C3" s="78" t="str">
        <f ca="1">OFFSET(L!$C$1,MATCH("Definitions"&amp;ADDRESS(ROW(),COLUMN(),4),L!$A:$A,0)-1,SL,,)</f>
        <v>钽、锡、钨、金</v>
      </c>
      <c r="D3" s="376"/>
      <c r="E3" s="133" t="s">
        <v>1457</v>
      </c>
    </row>
    <row r="4" spans="1:5" ht="63.75" customHeight="1">
      <c r="A4" s="91"/>
      <c r="B4" s="78">
        <f ca="1">OFFSET(L!$C$1,MATCH("Definitions"&amp;ADDRESS(ROW(),COLUMN(),4),L!$A:$A,0)-1,SL,,)</f>
        <v>0</v>
      </c>
      <c r="C4" s="78" t="str">
        <f ca="1">OFFSET(L!$C$1,MATCH("Definitions"&amp;ADDRESS(ROW(),COLUMN(),4),L!$A:$A,0)-1,SL,,)</f>
        <v xml:space="preserve">此字段定义负责申报内容的人员。授权人可能与联络人不同。请勿填写“相同”或相似信息，需提供授权人的姓名。 </v>
      </c>
      <c r="D4" s="376"/>
      <c r="E4" s="133"/>
    </row>
    <row r="5" spans="1:5" ht="75">
      <c r="A5" s="91"/>
      <c r="B5" s="78" t="str">
        <f ca="1">OFFSET(L!$C$1,MATCH("Definitions"&amp;ADDRESS(ROW(),COLUMN(),4),L!$A:$A,0)-1,SL,,)</f>
        <v xml:space="preserve">冲突矿产 </v>
      </c>
      <c r="C5" s="78"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5" s="376"/>
      <c r="E5" s="133" t="s">
        <v>1458</v>
      </c>
    </row>
    <row r="6" spans="1:5" ht="60">
      <c r="A6" s="91"/>
      <c r="B6" s="78" t="str">
        <f ca="1">OFFSET(L!$C$1,MATCH("Definitions"&amp;ADDRESS(ROW(),COLUMN(),4),L!$A:$A,0)-1,SL,,)</f>
        <v>指明国家或地区</v>
      </c>
      <c r="C6" s="78"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6" s="376"/>
      <c r="E6" s="133" t="s">
        <v>1458</v>
      </c>
    </row>
    <row r="7" spans="1:5" ht="135">
      <c r="A7" s="91"/>
      <c r="B7" s="78" t="str">
        <f ca="1">OFFSET(L!$C$1,MATCH("Definitions"&amp;ADDRESS(ROW(),COLUMN(),4),L!$A:$A,0)-1,SL,,)</f>
        <v xml:space="preserve">申报范围或种类 </v>
      </c>
      <c r="C7" s="78"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7" s="376"/>
      <c r="E7" s="133" t="s">
        <v>1461</v>
      </c>
    </row>
    <row r="8" spans="1:5" ht="60">
      <c r="A8" s="91"/>
      <c r="B8" s="78" t="str">
        <f ca="1">OFFSET(L!$C$1,MATCH("Definitions"&amp;ADDRESS(ROW(),COLUMN(),4),L!$A:$A,0)-1,SL,,)</f>
        <v>多德-弗兰克</v>
      </c>
      <c r="C8" s="78"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8" s="376"/>
      <c r="E8" s="133" t="s">
        <v>1458</v>
      </c>
    </row>
    <row r="9" spans="1:5" ht="45">
      <c r="A9" s="91"/>
      <c r="B9" s="78" t="str">
        <f ca="1">OFFSET(L!$C$1,MATCH("Definitions"&amp;ADDRESS(ROW(),COLUMN(),4),L!$A:$A,0)-1,SL,,)</f>
        <v>刚果民主共和国</v>
      </c>
      <c r="C9" s="78" t="str">
        <f ca="1">OFFSET(L!$C$1,MATCH("Definitions"&amp;ADDRESS(ROW(),COLUMN(),4),L!$A:$A,0)-1,SL,,)</f>
        <v>刚果民主共和国</v>
      </c>
      <c r="D9" s="376"/>
      <c r="E9" s="133" t="s">
        <v>1457</v>
      </c>
    </row>
    <row r="10" spans="1:5" ht="45">
      <c r="A10" s="91"/>
      <c r="B10" s="78" t="str">
        <f ca="1">OFFSET(L!$C$1,MATCH("Definitions"&amp;ADDRESS(ROW(),COLUMN(),4),L!$A:$A,0)-1,SL,,)</f>
        <v>刚果民主共和国无冲突的冲突矿产</v>
      </c>
      <c r="C10" s="78"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0" s="376"/>
      <c r="E10" s="133" t="s">
        <v>1457</v>
      </c>
    </row>
    <row r="11" spans="1:5" ht="45">
      <c r="A11" s="91"/>
      <c r="B11" s="78" t="str">
        <f ca="1">OFFSET(L!$C$1,MATCH("Definitions"&amp;ADDRESS(ROW(),COLUMN(),4),L!$A:$A,0)-1,SL,,)</f>
        <v>金精炼厂（冶炼厂）</v>
      </c>
      <c r="C11" s="78" t="str">
        <f ca="1">OFFSET(L!$C$1,MATCH("Definitions"&amp;ADDRESS(ROW(),COLUMN(),4),L!$A:$A,0)-1,SL,,)</f>
        <v>金精炼是指一种从黄金和含金量低的物料中提炼出纯度达 99.5% 或更高的黄金的冶金操作。请参考负责任矿物审验流程中的审核标准，了解对这类型金属的完整描述：http://www.responsiblemineralsinitiative.org/smelter-introduction/。</v>
      </c>
      <c r="D11" s="376"/>
      <c r="E11" s="133" t="s">
        <v>1457</v>
      </c>
    </row>
    <row r="12" spans="1:5" ht="107.25" customHeight="1">
      <c r="A12" s="91"/>
      <c r="B12" s="78" t="str">
        <f ca="1">OFFSET(L!$C$1,MATCH("Definitions"&amp;ADDRESS(ROW(),COLUMN(),4),L!$A:$A,0)-1,SL,,)</f>
        <v>独立的第三方审核机构</v>
      </c>
      <c r="C12" s="78"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2" s="376"/>
      <c r="E12" s="133" t="s">
        <v>1459</v>
      </c>
    </row>
    <row r="13" spans="1:5" ht="303.75" customHeight="1">
      <c r="A13" s="91"/>
      <c r="B13" s="78" t="str">
        <f ca="1">OFFSET(L!$C$1,MATCH("Definitions"&amp;ADDRESS(ROW(),COLUMN(),4),L!$A:$A,0)-1,SL,,)</f>
        <v>有意添加</v>
      </c>
      <c r="C13" s="78" t="str">
        <f ca="1">OFFSET(L!$C$1,MATCH("Definitions"&amp;ADDRESS(ROW(),COLUMN(),4),L!$A:$A,0)-1,SL,,)</f>
        <v>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3" s="376"/>
      <c r="E13" s="133" t="s">
        <v>1457</v>
      </c>
    </row>
    <row r="14" spans="1:5" ht="75">
      <c r="A14" s="91"/>
      <c r="B14" s="78" t="str">
        <f ca="1">OFFSET(L!$C$1,MATCH("Definitions"&amp;ADDRESS(ROW(),COLUMN(),4),L!$A:$A,0)-1,SL,,)</f>
        <v>IPC</v>
      </c>
      <c r="C14" s="78"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4" s="376"/>
      <c r="E14" s="133" t="s">
        <v>1457</v>
      </c>
    </row>
    <row r="15" spans="1:5" ht="45">
      <c r="A15" s="91"/>
      <c r="B15" s="78" t="str">
        <f ca="1">OFFSET(L!$C$1,MATCH("Definitions"&amp;ADDRESS(ROW(),COLUMN(),4),L!$A:$A,0)-1,SL,,)</f>
        <v>IPC-1755 冲突矿产数据交换标准</v>
      </c>
      <c r="C15" s="78"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5" s="376"/>
      <c r="E15" s="133" t="s">
        <v>1457</v>
      </c>
    </row>
    <row r="16" spans="1:5" ht="135">
      <c r="A16" s="91"/>
      <c r="B16" s="78" t="str">
        <f ca="1">OFFSET(L!$C$1,MATCH("Definitions"&amp;ADDRESS(ROW(),COLUMN(),4),L!$A:$A,0)-1,SL,,)</f>
        <v>产品功能需要</v>
      </c>
      <c r="C16" s="78"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v>
      </c>
      <c r="D16" s="376"/>
      <c r="E16" s="133" t="s">
        <v>1457</v>
      </c>
    </row>
    <row r="17" spans="1:5" ht="90">
      <c r="A17" s="91"/>
      <c r="B17" s="78" t="str">
        <f ca="1">OFFSET(L!$C$1,MATCH("Definitions"&amp;ADDRESS(ROW(),COLUMN(),4),L!$A:$A,0)-1,SL,,)</f>
        <v>产品生产需要</v>
      </c>
      <c r="C17" s="78"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v>
      </c>
      <c r="D17" s="376"/>
      <c r="E17" s="133" t="s">
        <v>1457</v>
      </c>
    </row>
    <row r="18" spans="1:5" ht="60">
      <c r="A18" s="91"/>
      <c r="B18" s="78" t="str">
        <f ca="1">OFFSET(L!$C$1,MATCH("Definitions"&amp;ADDRESS(ROW(),COLUMN(),4),L!$A:$A,0)-1,SL,,)</f>
        <v>经济合作与发展组织（Organization for Economic Co-operation and Development，OECD）</v>
      </c>
      <c r="C18" s="78" t="str">
        <f ca="1">OFFSET(L!$C$1,MATCH("Definitions"&amp;ADDRESS(ROW(),COLUMN(),4),L!$A:$A,0)-1,SL,,)</f>
        <v>经济合作与发展组织</v>
      </c>
      <c r="D18" s="376"/>
      <c r="E18" s="133"/>
    </row>
    <row r="19" spans="1:5" ht="15">
      <c r="A19" s="91"/>
      <c r="B19" s="78" t="str">
        <f ca="1">OFFSET(L!$C$1,MATCH("Definitions"&amp;ADDRESS(ROW(),COLUMN(),4),L!$A:$A,0)-1,SL,,)</f>
        <v>产品</v>
      </c>
      <c r="C19" s="78" t="str">
        <f ca="1">OFFSET(L!$C$1,MATCH("Definitions"&amp;ADDRESS(ROW(),COLUMN(),4),L!$A:$A,0)-1,SL,,)</f>
        <v xml:space="preserve">公司的产品或成品是指在制造生产阶段或最后完成阶段的物料或物品，并且已可以交付或销售给客户。 </v>
      </c>
      <c r="D19" s="376"/>
      <c r="E19" s="133"/>
    </row>
    <row r="20" spans="1:5" ht="30">
      <c r="A20" s="91"/>
      <c r="B20" s="78" t="str">
        <f ca="1">OFFSET(L!$C$1,MATCH("Definitions"&amp;ADDRESS(ROW(),COLUMN(),4),L!$A:$A,0)-1,SL,,)</f>
        <v>责任商业联盟（Responsible Business Alliance，RBA）</v>
      </c>
      <c r="C20" s="78" t="str">
        <f ca="1">OFFSET(L!$C$1,MATCH("Definitions"&amp;ADDRESS(ROW(),COLUMN(),4),L!$A:$A,0)-1,SL,,)</f>
        <v>责任商业联盟 (www.responsiblebusiness.org)</v>
      </c>
      <c r="D20" s="376"/>
      <c r="E20" s="133"/>
    </row>
    <row r="21" spans="1:5" ht="106.5" customHeight="1">
      <c r="A21" s="91"/>
      <c r="B21" s="78" t="str">
        <f ca="1">OFFSET(L!$C$1,MATCH("Definitions"&amp;ADDRESS(ROW(),COLUMN(),4),L!$A:$A,0)-1,SL,,)</f>
        <v>回收或废料源</v>
      </c>
      <c r="C21" s="78"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1" s="376"/>
      <c r="E21" s="133"/>
    </row>
    <row r="22" spans="1:5" ht="45">
      <c r="A22" s="91"/>
      <c r="B22" s="78" t="str">
        <f ca="1">OFFSET(L!$C$1,MATCH("Definitions"&amp;ADDRESS(ROW(),COLUMN(),4),L!$A:$A,0)-1,SL,,)</f>
        <v>负责任矿物审验流程 (RMAP)</v>
      </c>
      <c r="C22" s="78"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2" s="376"/>
      <c r="E22" s="133"/>
    </row>
    <row r="23" spans="1:5" ht="168" customHeight="1">
      <c r="A23" s="91"/>
      <c r="B23" s="78" t="str">
        <f ca="1">OFFSET(L!$C$1,MATCH("Definitions"&amp;ADDRESS(ROW(),COLUMN(),4),L!$A:$A,0)-1,SL,,)</f>
        <v>负责任矿物计划</v>
      </c>
      <c r="C23" s="78"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3" s="376"/>
      <c r="E23" s="133"/>
    </row>
    <row r="24" spans="1:5" ht="75">
      <c r="A24" s="91"/>
      <c r="B24" s="78" t="str">
        <f ca="1">OFFSET(L!$C$1,MATCH("Definitions"&amp;ADDRESS(ROW(),COLUMN(),4),L!$A:$A,0)-1,SL,,)</f>
        <v>无冲突冶炼厂计划合规冶炼厂列表</v>
      </c>
      <c r="C24" s="78"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v>
      </c>
      <c r="D24" s="376"/>
      <c r="E24" s="133" t="s">
        <v>1457</v>
      </c>
    </row>
    <row r="25" spans="1:5" ht="75">
      <c r="A25" s="91"/>
      <c r="B25" s="78" t="str">
        <f ca="1">OFFSET(L!$C$1,MATCH("Definitions"&amp;ADDRESS(ROW(),COLUMN(),4),L!$A:$A,0)-1,SL,,)</f>
        <v>证券交易委员会 (SEC)</v>
      </c>
      <c r="C25" s="78" t="str">
        <f ca="1">OFFSET(L!$C$1,MATCH("Definitions"&amp;ADDRESS(ROW(),COLUMN(),4),L!$A:$A,0)-1,SL,,)</f>
        <v>美国证券交易委员会 (www.sec.gov)</v>
      </c>
      <c r="D25" s="376"/>
      <c r="E25" s="133" t="s">
        <v>1459</v>
      </c>
    </row>
    <row r="26" spans="1:5" ht="45">
      <c r="A26" s="91"/>
      <c r="B26" s="78" t="str">
        <f ca="1">OFFSET(L!$C$1,MATCH("Definitions"&amp;ADDRESS(ROW(),COLUMN(),4),L!$A:$A,0)-1,SL,,)</f>
        <v>冶炼厂</v>
      </c>
      <c r="C26" s="78"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6" s="376"/>
      <c r="E26" s="133" t="s">
        <v>1457</v>
      </c>
    </row>
    <row r="27" spans="1:5" ht="60">
      <c r="A27" s="91"/>
      <c r="B27" s="78" t="str">
        <f ca="1">OFFSET(L!$C$1,MATCH("Definitions"&amp;ADDRESS(ROW(),COLUMN(),4),L!$A:$A,0)-1,SL,,)</f>
        <v>冶炼厂识别序号</v>
      </c>
      <c r="C27" s="78"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7" s="376"/>
      <c r="E27" s="133" t="s">
        <v>1458</v>
      </c>
    </row>
    <row r="28" spans="1:5" ht="108" customHeight="1">
      <c r="A28" s="91"/>
      <c r="B28" s="78" t="str">
        <f ca="1">OFFSET(L!$C$1,MATCH("Definitions"&amp;ADDRESS(ROW(),COLUMN(),4),L!$A:$A,0)-1,SL,,)</f>
        <v>钽 (Ta) 冶炼厂</v>
      </c>
      <c r="C28" s="78"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v>
      </c>
      <c r="D28" s="376"/>
      <c r="E28" s="133" t="s">
        <v>1459</v>
      </c>
    </row>
    <row r="29" spans="1:5" ht="121.5" customHeight="1">
      <c r="A29" s="91"/>
      <c r="B29" s="78" t="str">
        <f ca="1">OFFSET(L!$C$1,MATCH("Definitions"&amp;ADDRESS(ROW(),COLUMN(),4),L!$A:$A,0)-1,SL,,)</f>
        <v>锡 (Sn) 冶炼厂</v>
      </c>
      <c r="C29" s="78"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v>
      </c>
      <c r="D29" s="376"/>
      <c r="E29" s="133" t="s">
        <v>1460</v>
      </c>
    </row>
    <row r="30" spans="1:5" ht="122.25" customHeight="1">
      <c r="A30" s="91"/>
      <c r="B30" s="78" t="str">
        <f ca="1">OFFSET(L!$C$1,MATCH("Definitions"&amp;ADDRESS(ROW(),COLUMN(),4),L!$A:$A,0)-1,SL,,)</f>
        <v>钨 (W) 冶炼厂</v>
      </c>
      <c r="C30" s="78"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v>
      </c>
      <c r="D30" s="376"/>
      <c r="E30" s="133"/>
    </row>
    <row r="31" spans="1:5" ht="15">
      <c r="A31" s="91"/>
      <c r="B31" s="375" t="str">
        <f ca="1">OFFSET(L!$C$1,MATCH("General"&amp;"Cpy",L!$A:$A,0)-1,SL,,)</f>
        <v>© 2018 Responsible Minerals Initiative。保留所有权利。</v>
      </c>
      <c r="C31" s="375"/>
      <c r="D31" s="376"/>
      <c r="E31" s="133"/>
    </row>
    <row r="32" spans="1:5" ht="13.5" thickBot="1">
      <c r="A32" s="92"/>
      <c r="B32" s="195"/>
      <c r="C32" s="195"/>
      <c r="D32" s="377"/>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zoomScale="70" zoomScaleNormal="70"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3" t="str">
        <f ca="1">OFFSET(L!$C$1,MATCH("Declaration"&amp;ADDRESS(ROW(),COLUMN(),4),L!$A:$A,0)-1,SL,,)</f>
        <v>Conflict Minerals Reporting Template (CMRT)</v>
      </c>
      <c r="E2" s="404"/>
      <c r="F2" s="404"/>
      <c r="G2" s="404"/>
      <c r="H2" s="404"/>
      <c r="I2" s="404"/>
      <c r="J2" s="405"/>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15014</v>
      </c>
      <c r="E3" s="12"/>
      <c r="F3" s="416"/>
      <c r="G3" s="416"/>
      <c r="H3" s="416"/>
      <c r="I3" s="194"/>
      <c r="J3" s="173" t="s">
        <v>14599</v>
      </c>
      <c r="K3" s="48"/>
      <c r="L3" s="144"/>
      <c r="M3" s="135"/>
      <c r="N3" s="135"/>
      <c r="O3" s="136"/>
      <c r="P3" s="149">
        <f>MATCH($D$3,LN,0)</f>
        <v>2</v>
      </c>
    </row>
    <row r="4" spans="1:34" ht="15.75">
      <c r="A4" s="46"/>
      <c r="B4" s="409" t="str">
        <f ca="1">OFFSET(L!$C$1,MATCH("Declaration"&amp;ADDRESS(ROW(),COLUMN(),4),L!$A:$A,0)-1,SL,,)</f>
        <v>此填写此报告的目的是收集在产品中所用锡、钽、钨、黄金等金属的采购信息。</v>
      </c>
      <c r="C4" s="409"/>
      <c r="D4" s="409"/>
      <c r="E4" s="409"/>
      <c r="F4" s="409"/>
      <c r="G4" s="409"/>
      <c r="H4" s="409"/>
      <c r="I4" s="417">
        <f ca="1">OFFSET(L!$C$1,MATCH("Declaration"&amp;ADDRESS(ROW(),COLUMN(),4),L!$A:$A,0)-1,SL,,)</f>
        <v>0</v>
      </c>
      <c r="J4" s="417"/>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9" t="str">
        <f ca="1">OFFSET(L!$C$1,MATCH("Declaration"&amp;ADDRESS(ROW(),COLUMN(),4),L!$A:$A,0)-1,SL,,)</f>
        <v>必填字段标记为星号 (*)。参考说明选项卡，获取关于如何答复每个问题的指南。</v>
      </c>
      <c r="C6" s="409"/>
      <c r="D6" s="409"/>
      <c r="E6" s="409"/>
      <c r="F6" s="409"/>
      <c r="G6" s="409"/>
      <c r="H6" s="409"/>
      <c r="I6" s="409"/>
      <c r="J6" s="409"/>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1" t="str">
        <f ca="1">OFFSET(L!$C$1,MATCH("Declaration"&amp;ADDRESS(ROW(),COLUMN(),4),L!$A:$A,0)-1,SL,,)</f>
        <v>公司信息</v>
      </c>
      <c r="C7" s="421"/>
      <c r="D7" s="421"/>
      <c r="E7" s="421"/>
      <c r="F7" s="421"/>
      <c r="G7" s="421"/>
      <c r="H7" s="421"/>
      <c r="I7" s="421"/>
      <c r="J7" s="421"/>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公司名称 (*)：</v>
      </c>
      <c r="C8" s="93"/>
      <c r="D8" s="406" t="s">
        <v>15425</v>
      </c>
      <c r="E8" s="407"/>
      <c r="F8" s="407"/>
      <c r="G8" s="407"/>
      <c r="H8" s="407"/>
      <c r="I8" s="407"/>
      <c r="J8" s="408"/>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申报范围或种类 (*)：</v>
      </c>
      <c r="C9" s="93"/>
      <c r="D9" s="418" t="s">
        <v>569</v>
      </c>
      <c r="E9" s="419"/>
      <c r="F9" s="419"/>
      <c r="G9" s="420"/>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2" t="str">
        <f ca="1">OFFSET(L!$C$1,MATCH("Declaration"&amp;ADDRESS(ROW(),COLUMN(),4)&amp;LEFT($D$9,1),L!$A:$A,0)-1,SL,,)</f>
        <v>范围描述：</v>
      </c>
      <c r="C10" s="156"/>
      <c r="D10" s="410" t="s">
        <v>15426</v>
      </c>
      <c r="E10" s="411"/>
      <c r="F10" s="411"/>
      <c r="G10" s="411"/>
      <c r="H10" s="411"/>
      <c r="I10" s="411"/>
      <c r="J10" s="412"/>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
      <c r="A11" s="50"/>
      <c r="B11" s="423"/>
      <c r="C11" s="156"/>
      <c r="D11" s="432" t="str">
        <f ca="1">IF(D9=Q9,OFFSET(L!$C$1,MATCH("Declaration"&amp;ADDRESS(ROW(),COLUMN(),4),L!$A:$A,0)-1,SL,,),"")</f>
        <v/>
      </c>
      <c r="E11" s="433"/>
      <c r="F11" s="433"/>
      <c r="G11" s="433"/>
      <c r="H11" s="433"/>
      <c r="I11" s="433"/>
      <c r="J11" s="434"/>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 xml:space="preserve">公司唯一识别信息： </v>
      </c>
      <c r="C12" s="94"/>
      <c r="D12" s="386" t="s">
        <v>15427</v>
      </c>
      <c r="E12" s="387"/>
      <c r="F12" s="387"/>
      <c r="G12" s="387"/>
      <c r="H12" s="387"/>
      <c r="I12" s="387"/>
      <c r="J12" s="388"/>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公司唯一授权识别信息：</v>
      </c>
      <c r="C13" s="94"/>
      <c r="D13" s="413" t="s">
        <v>15427</v>
      </c>
      <c r="E13" s="414"/>
      <c r="F13" s="414"/>
      <c r="G13" s="414"/>
      <c r="H13" s="414"/>
      <c r="I13" s="414"/>
      <c r="J13" s="41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地址：</v>
      </c>
      <c r="C14" s="94"/>
      <c r="D14" s="386" t="s">
        <v>15428</v>
      </c>
      <c r="E14" s="387"/>
      <c r="F14" s="387"/>
      <c r="G14" s="387"/>
      <c r="H14" s="387"/>
      <c r="I14" s="387"/>
      <c r="J14" s="388"/>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联系人姓名 (*)：</v>
      </c>
      <c r="C15" s="94"/>
      <c r="D15" s="392" t="s">
        <v>15429</v>
      </c>
      <c r="E15" s="393"/>
      <c r="F15" s="393"/>
      <c r="G15" s="393"/>
      <c r="H15" s="393"/>
      <c r="I15" s="393"/>
      <c r="J15" s="394"/>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电子邮件 - 联系人 (*)：</v>
      </c>
      <c r="C16" s="94"/>
      <c r="D16" s="392" t="s">
        <v>15430</v>
      </c>
      <c r="E16" s="393"/>
      <c r="F16" s="393"/>
      <c r="G16" s="393"/>
      <c r="H16" s="393"/>
      <c r="I16" s="393"/>
      <c r="J16" s="394"/>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电话 - 联系人 (*)：</v>
      </c>
      <c r="C17" s="94"/>
      <c r="D17" s="392" t="s">
        <v>15431</v>
      </c>
      <c r="E17" s="393"/>
      <c r="F17" s="393"/>
      <c r="G17" s="393"/>
      <c r="H17" s="393"/>
      <c r="I17" s="393"/>
      <c r="J17" s="394"/>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授权人 (*)：</v>
      </c>
      <c r="C18" s="94"/>
      <c r="D18" s="386" t="s">
        <v>15432</v>
      </c>
      <c r="E18" s="387"/>
      <c r="F18" s="387"/>
      <c r="G18" s="387"/>
      <c r="H18" s="387"/>
      <c r="I18" s="387"/>
      <c r="J18" s="388"/>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职务 - 授权人：</v>
      </c>
      <c r="C19" s="94"/>
      <c r="D19" s="386" t="s">
        <v>15433</v>
      </c>
      <c r="E19" s="387"/>
      <c r="F19" s="387"/>
      <c r="G19" s="387"/>
      <c r="H19" s="387"/>
      <c r="I19" s="387"/>
      <c r="J19" s="388"/>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电子邮件 - 授权人 (*)：</v>
      </c>
      <c r="C20" s="94"/>
      <c r="D20" s="424" t="s">
        <v>15434</v>
      </c>
      <c r="E20" s="425"/>
      <c r="F20" s="425"/>
      <c r="G20" s="425"/>
      <c r="H20" s="425"/>
      <c r="I20" s="425"/>
      <c r="J20" s="426"/>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电话 - 授权人 (*)：</v>
      </c>
      <c r="C21" s="168"/>
      <c r="D21" s="386" t="s">
        <v>15435</v>
      </c>
      <c r="E21" s="387"/>
      <c r="F21" s="387"/>
      <c r="G21" s="387"/>
      <c r="H21" s="387"/>
      <c r="I21" s="387"/>
      <c r="J21" s="388"/>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生效日期 (*)：</v>
      </c>
      <c r="C22" s="95"/>
      <c r="D22" s="389">
        <v>43446</v>
      </c>
      <c r="E22" s="390"/>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9"/>
      <c r="E23" s="429"/>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91" t="str">
        <f ca="1">OFFSET(L!$C$1,MATCH("Declaration"&amp;ADDRESS(ROW(),COLUMN(),4),L!$A:$A,0)-1,SL,,)</f>
        <v>根据上述申报范围，回答以下 1 至 7 题</v>
      </c>
      <c r="C24" s="391"/>
      <c r="D24" s="391"/>
      <c r="E24" s="391"/>
      <c r="F24" s="391"/>
      <c r="G24" s="391"/>
      <c r="H24" s="391"/>
      <c r="I24" s="391"/>
      <c r="J24" s="391"/>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是否在产品或生产流程中有意添加或使用任何 3TG？(*)</v>
      </c>
      <c r="C25" s="20"/>
      <c r="D25" s="430" t="str">
        <f ca="1">OFFSET(L!$C$1,MATCH("Declaration"&amp;ADDRESS(ROW(),COLUMN(),4),L!$A:$A,0)-1,SL,,)</f>
        <v>回答</v>
      </c>
      <c r="E25" s="430"/>
      <c r="F25" s="21"/>
      <c r="G25" s="56" t="str">
        <f ca="1">OFFSET(L!$C$1,MATCH("Declaration"&amp;ADDRESS(ROW(),COLUMN(),4),L!$A:$A,0)-1,SL,,)</f>
        <v>注释</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钽(*)</v>
      </c>
      <c r="C26" s="47"/>
      <c r="D26" s="378" t="s">
        <v>563</v>
      </c>
      <c r="E26" s="379"/>
      <c r="F26" s="15"/>
      <c r="G26" s="380"/>
      <c r="H26" s="381"/>
      <c r="I26" s="381"/>
      <c r="J26" s="382"/>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锡(*)</v>
      </c>
      <c r="C27" s="47"/>
      <c r="D27" s="378" t="s">
        <v>563</v>
      </c>
      <c r="E27" s="379"/>
      <c r="F27" s="15"/>
      <c r="G27" s="380"/>
      <c r="H27" s="381"/>
      <c r="I27" s="381"/>
      <c r="J27" s="382"/>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金(*)</v>
      </c>
      <c r="C28" s="47"/>
      <c r="D28" s="378" t="s">
        <v>563</v>
      </c>
      <c r="E28" s="379"/>
      <c r="F28" s="15"/>
      <c r="G28" s="380"/>
      <c r="H28" s="381"/>
      <c r="I28" s="381"/>
      <c r="J28" s="382"/>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钨</v>
      </c>
      <c r="C29" s="47"/>
      <c r="D29" s="378" t="s">
        <v>564</v>
      </c>
      <c r="E29" s="379"/>
      <c r="F29" s="15"/>
      <c r="G29" s="380"/>
      <c r="H29" s="381"/>
      <c r="I29" s="381"/>
      <c r="J29" s="382"/>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是否有任何 3TG 仍存在于产品中？ (*)</v>
      </c>
      <c r="C31" s="13"/>
      <c r="D31" s="385" t="str">
        <f ca="1">D25</f>
        <v>回答</v>
      </c>
      <c r="E31" s="385"/>
      <c r="F31" s="21"/>
      <c r="G31" s="56" t="str">
        <f ca="1">G25</f>
        <v>注释</v>
      </c>
      <c r="H31" s="56"/>
      <c r="I31" s="56"/>
      <c r="J31" s="100"/>
      <c r="K31" s="48"/>
      <c r="L31" s="141" t="s">
        <v>1384</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钽(*)</v>
      </c>
      <c r="C32" s="13"/>
      <c r="D32" s="395" t="s">
        <v>563</v>
      </c>
      <c r="E32" s="396"/>
      <c r="F32" s="59"/>
      <c r="G32" s="380"/>
      <c r="H32" s="381"/>
      <c r="I32" s="381"/>
      <c r="J32" s="382"/>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锡(*)</v>
      </c>
      <c r="C33" s="13"/>
      <c r="D33" s="378" t="s">
        <v>563</v>
      </c>
      <c r="E33" s="379"/>
      <c r="F33" s="59"/>
      <c r="G33" s="380"/>
      <c r="H33" s="381"/>
      <c r="I33" s="381"/>
      <c r="J33" s="382"/>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金(*)</v>
      </c>
      <c r="C34" s="13"/>
      <c r="D34" s="378" t="s">
        <v>563</v>
      </c>
      <c r="E34" s="379"/>
      <c r="F34" s="59"/>
      <c r="G34" s="380"/>
      <c r="H34" s="381"/>
      <c r="I34" s="381"/>
      <c r="J34" s="382"/>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钨</v>
      </c>
      <c r="C35" s="13"/>
      <c r="D35" s="378"/>
      <c r="E35" s="379"/>
      <c r="F35" s="59"/>
      <c r="G35" s="380"/>
      <c r="H35" s="381"/>
      <c r="I35" s="381"/>
      <c r="J35" s="382"/>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贵公司供应链中的冶炼厂是否从所指明的国家采购 3TG？（有关术语“SEC”，请参见定义选项卡） (*)</v>
      </c>
      <c r="C37" s="13"/>
      <c r="D37" s="385" t="str">
        <f ca="1">D25</f>
        <v>回答</v>
      </c>
      <c r="E37" s="385"/>
      <c r="F37" s="21"/>
      <c r="G37" s="56" t="str">
        <f ca="1">G25</f>
        <v>注释</v>
      </c>
      <c r="H37" s="428"/>
      <c r="I37" s="428"/>
      <c r="J37" s="428"/>
      <c r="K37" s="48"/>
      <c r="L37" s="141" t="s">
        <v>1384</v>
      </c>
      <c r="M37" s="135"/>
      <c r="N37" s="135"/>
      <c r="O37" s="136"/>
      <c r="P37" s="57">
        <f>COUNTIF(D$26:D$29,"No")+COUNTIF(D$32:D$35,"No")</f>
        <v>1</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钽(*)</v>
      </c>
      <c r="C38" s="13"/>
      <c r="D38" s="378" t="s">
        <v>563</v>
      </c>
      <c r="E38" s="379"/>
      <c r="F38" s="59"/>
      <c r="G38" s="380"/>
      <c r="H38" s="381"/>
      <c r="I38" s="381"/>
      <c r="J38" s="382"/>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锡(*)</v>
      </c>
      <c r="C39" s="13"/>
      <c r="D39" s="378" t="s">
        <v>563</v>
      </c>
      <c r="E39" s="379"/>
      <c r="F39" s="59"/>
      <c r="G39" s="380"/>
      <c r="H39" s="381"/>
      <c r="I39" s="381"/>
      <c r="J39" s="382"/>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金(*)</v>
      </c>
      <c r="C40" s="13"/>
      <c r="D40" s="378" t="s">
        <v>563</v>
      </c>
      <c r="E40" s="379"/>
      <c r="F40" s="59"/>
      <c r="G40" s="380"/>
      <c r="H40" s="381"/>
      <c r="I40" s="381"/>
      <c r="J40" s="382"/>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钨</v>
      </c>
      <c r="C41" s="13"/>
      <c r="D41" s="378"/>
      <c r="E41" s="379"/>
      <c r="F41" s="59"/>
      <c r="G41" s="380"/>
      <c r="H41" s="381"/>
      <c r="I41" s="381"/>
      <c r="J41" s="382"/>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是否 100% 的 3TG（因产品功能或生产而必须使用）来自于回收料或报废料？ (*)</v>
      </c>
      <c r="C43" s="13"/>
      <c r="D43" s="385" t="str">
        <f ca="1">D25</f>
        <v>回答</v>
      </c>
      <c r="E43" s="385"/>
      <c r="F43" s="21"/>
      <c r="G43" s="56" t="str">
        <f ca="1">G25</f>
        <v>注释</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钽(*)</v>
      </c>
      <c r="C44" s="13"/>
      <c r="D44" s="378" t="s">
        <v>564</v>
      </c>
      <c r="E44" s="379"/>
      <c r="F44" s="59"/>
      <c r="G44" s="380"/>
      <c r="H44" s="381"/>
      <c r="I44" s="381"/>
      <c r="J44" s="382"/>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锡(*)</v>
      </c>
      <c r="C45" s="13"/>
      <c r="D45" s="378" t="s">
        <v>564</v>
      </c>
      <c r="E45" s="379"/>
      <c r="F45" s="59"/>
      <c r="G45" s="380"/>
      <c r="H45" s="381"/>
      <c r="I45" s="381"/>
      <c r="J45" s="382"/>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金(*)</v>
      </c>
      <c r="C46" s="13"/>
      <c r="D46" s="378" t="s">
        <v>564</v>
      </c>
      <c r="E46" s="379"/>
      <c r="F46" s="59"/>
      <c r="G46" s="380"/>
      <c r="H46" s="381"/>
      <c r="I46" s="381"/>
      <c r="J46" s="382"/>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钨</v>
      </c>
      <c r="C47" s="13"/>
      <c r="D47" s="378"/>
      <c r="E47" s="379"/>
      <c r="F47" s="59"/>
      <c r="G47" s="380"/>
      <c r="H47" s="381"/>
      <c r="I47" s="381"/>
      <c r="J47" s="382"/>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已对贵公司供应链调查提供答复的相关供应商百分比是多少？ (*)</v>
      </c>
      <c r="C49" s="13"/>
      <c r="D49" s="385" t="str">
        <f ca="1">D25</f>
        <v>回答</v>
      </c>
      <c r="E49" s="385"/>
      <c r="F49" s="21"/>
      <c r="G49" s="56" t="str">
        <f ca="1">G25</f>
        <v>注释</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钽(*)</v>
      </c>
      <c r="C50" s="47"/>
      <c r="D50" s="383">
        <v>1</v>
      </c>
      <c r="E50" s="384"/>
      <c r="F50" s="59"/>
      <c r="G50" s="380"/>
      <c r="H50" s="381"/>
      <c r="I50" s="381"/>
      <c r="J50" s="382"/>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锡(*)</v>
      </c>
      <c r="C51" s="47"/>
      <c r="D51" s="383">
        <v>1</v>
      </c>
      <c r="E51" s="384"/>
      <c r="F51" s="59"/>
      <c r="G51" s="380"/>
      <c r="H51" s="381"/>
      <c r="I51" s="381"/>
      <c r="J51" s="382"/>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金(*)</v>
      </c>
      <c r="C52" s="47"/>
      <c r="D52" s="383">
        <v>1</v>
      </c>
      <c r="E52" s="384"/>
      <c r="F52" s="59"/>
      <c r="G52" s="380"/>
      <c r="H52" s="381"/>
      <c r="I52" s="381"/>
      <c r="J52" s="382"/>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钨</v>
      </c>
      <c r="C53" s="47"/>
      <c r="D53" s="383"/>
      <c r="E53" s="384"/>
      <c r="F53" s="59"/>
      <c r="G53" s="380"/>
      <c r="H53" s="381"/>
      <c r="I53" s="381"/>
      <c r="J53" s="382"/>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您是否识别出为贵公司供应链供应 3TG 的所有冶炼厂？ (*)</v>
      </c>
      <c r="C55" s="13"/>
      <c r="D55" s="385" t="str">
        <f ca="1">D25</f>
        <v>回答</v>
      </c>
      <c r="E55" s="385"/>
      <c r="F55" s="21"/>
      <c r="G55" s="56" t="str">
        <f ca="1">G25</f>
        <v>注释</v>
      </c>
      <c r="H55" s="427"/>
      <c r="I55" s="427"/>
      <c r="J55" s="427"/>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钽(*)</v>
      </c>
      <c r="C56" s="13"/>
      <c r="D56" s="395" t="s">
        <v>563</v>
      </c>
      <c r="E56" s="396"/>
      <c r="F56" s="59"/>
      <c r="G56" s="380"/>
      <c r="H56" s="381"/>
      <c r="I56" s="381"/>
      <c r="J56" s="382"/>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锡(*)</v>
      </c>
      <c r="C57" s="13"/>
      <c r="D57" s="378" t="s">
        <v>563</v>
      </c>
      <c r="E57" s="379"/>
      <c r="F57" s="59"/>
      <c r="G57" s="380"/>
      <c r="H57" s="381"/>
      <c r="I57" s="381"/>
      <c r="J57" s="382"/>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金(*)</v>
      </c>
      <c r="C58" s="13"/>
      <c r="D58" s="378" t="s">
        <v>563</v>
      </c>
      <c r="E58" s="379"/>
      <c r="F58" s="59"/>
      <c r="G58" s="380"/>
      <c r="H58" s="381"/>
      <c r="I58" s="381"/>
      <c r="J58" s="382"/>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钨</v>
      </c>
      <c r="C59" s="13"/>
      <c r="D59" s="378"/>
      <c r="E59" s="379"/>
      <c r="F59" s="59"/>
      <c r="G59" s="380"/>
      <c r="H59" s="381"/>
      <c r="I59" s="381"/>
      <c r="J59" s="382"/>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贵公司收到的所有适用冶炼厂信息是否已在此申报中报告？ (*)</v>
      </c>
      <c r="C61" s="13"/>
      <c r="D61" s="385" t="str">
        <f ca="1">D25</f>
        <v>回答</v>
      </c>
      <c r="E61" s="385"/>
      <c r="F61" s="21"/>
      <c r="G61" s="56" t="str">
        <f ca="1">G25</f>
        <v>注释</v>
      </c>
      <c r="H61" s="427" t="str">
        <f>IF(Q69="(*)","Click here to enter smelter names","")</f>
        <v/>
      </c>
      <c r="I61" s="427"/>
      <c r="J61" s="427"/>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钽(*)</v>
      </c>
      <c r="C62" s="47"/>
      <c r="D62" s="378" t="s">
        <v>563</v>
      </c>
      <c r="E62" s="379"/>
      <c r="F62" s="60"/>
      <c r="G62" s="380"/>
      <c r="H62" s="381"/>
      <c r="I62" s="381"/>
      <c r="J62" s="382"/>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锡(*)</v>
      </c>
      <c r="C63" s="47"/>
      <c r="D63" s="378" t="s">
        <v>563</v>
      </c>
      <c r="E63" s="379"/>
      <c r="F63" s="60"/>
      <c r="G63" s="380"/>
      <c r="H63" s="381"/>
      <c r="I63" s="381"/>
      <c r="J63" s="382"/>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金(*)</v>
      </c>
      <c r="C64" s="47"/>
      <c r="D64" s="378" t="s">
        <v>563</v>
      </c>
      <c r="E64" s="379"/>
      <c r="F64" s="60"/>
      <c r="G64" s="380"/>
      <c r="H64" s="381"/>
      <c r="I64" s="381"/>
      <c r="J64" s="382"/>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钨</v>
      </c>
      <c r="C65" s="61"/>
      <c r="D65" s="378"/>
      <c r="E65" s="379"/>
      <c r="F65" s="62"/>
      <c r="G65" s="380"/>
      <c r="H65" s="381"/>
      <c r="I65" s="381"/>
      <c r="J65" s="382"/>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9" t="str">
        <f ca="1">OFFSET(L!$C$1,MATCH("Declaration"&amp;ADDRESS(ROW(),COLUMN(),4),L!$A:$A,0)-1,SL,,)</f>
        <v>从公司层面，回答以下问题</v>
      </c>
      <c r="C67" s="439"/>
      <c r="D67" s="439"/>
      <c r="E67" s="439"/>
      <c r="F67" s="439"/>
      <c r="G67" s="439"/>
      <c r="H67" s="439"/>
      <c r="I67" s="439"/>
      <c r="J67" s="439"/>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问题</v>
      </c>
      <c r="C68" s="98"/>
      <c r="D68" s="430" t="str">
        <f ca="1">D25</f>
        <v>回答</v>
      </c>
      <c r="E68" s="430"/>
      <c r="F68" s="65"/>
      <c r="G68" s="430" t="str">
        <f ca="1">G25</f>
        <v>注释</v>
      </c>
      <c r="H68" s="430" t="e">
        <f>HLOOKUP(SL,LT,$O68,0)</f>
        <v>#NAME?</v>
      </c>
      <c r="I68" s="430"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贵公司是否已制定冲突矿产采购政策？ (*)</v>
      </c>
      <c r="C69" s="69"/>
      <c r="D69" s="378" t="s">
        <v>563</v>
      </c>
      <c r="E69" s="379"/>
      <c r="F69" s="69"/>
      <c r="G69" s="380"/>
      <c r="H69" s="381"/>
      <c r="I69" s="381"/>
      <c r="J69" s="382"/>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31"/>
      <c r="H70" s="431"/>
      <c r="I70" s="431"/>
      <c r="J70" s="431"/>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贵公司的冲突矿产采购政策是否公开发布于贵公司网页上？（备注 - 如果是，请在注释字段中注明 URL。） (*)</v>
      </c>
      <c r="C71" s="69"/>
      <c r="D71" s="378" t="s">
        <v>563</v>
      </c>
      <c r="E71" s="379"/>
      <c r="F71" s="69"/>
      <c r="G71" s="397" t="s">
        <v>15436</v>
      </c>
      <c r="H71" s="398"/>
      <c r="I71" s="398"/>
      <c r="J71" s="399"/>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您是否要求你的直接供应商不使用来自刚果民主共和国的涉及冲突之冲突矿产？ (*)</v>
      </c>
      <c r="C73" s="69"/>
      <c r="D73" s="378" t="s">
        <v>563</v>
      </c>
      <c r="E73" s="379"/>
      <c r="F73" s="69"/>
      <c r="G73" s="380"/>
      <c r="H73" s="381"/>
      <c r="I73" s="381"/>
      <c r="J73" s="382"/>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您是否要求您的直接供应商从其尽职调查实践已被被独立第三方审核机构验证过的冶炼厂采购 3TG？  (*)</v>
      </c>
      <c r="C75" s="69"/>
      <c r="D75" s="378" t="s">
        <v>563</v>
      </c>
      <c r="E75" s="379"/>
      <c r="F75" s="69"/>
      <c r="G75" s="380"/>
      <c r="H75" s="381"/>
      <c r="I75" s="381"/>
      <c r="J75" s="382"/>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贵公司是否已实施无冲突矿产采购的尽职调查措施？ (*)</v>
      </c>
      <c r="C77" s="69"/>
      <c r="D77" s="378" t="s">
        <v>563</v>
      </c>
      <c r="E77" s="379"/>
      <c r="F77" s="69"/>
      <c r="G77" s="380"/>
      <c r="H77" s="381"/>
      <c r="I77" s="381"/>
      <c r="J77" s="382"/>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贵公司是否开展了相关供应商的冲突矿产调查？ (*)</v>
      </c>
      <c r="C79" s="69"/>
      <c r="D79" s="392" t="s">
        <v>13591</v>
      </c>
      <c r="E79" s="394"/>
      <c r="F79" s="69"/>
      <c r="G79" s="380"/>
      <c r="H79" s="381"/>
      <c r="I79" s="381"/>
      <c r="J79" s="382"/>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31"/>
      <c r="H80" s="431"/>
      <c r="I80" s="431"/>
      <c r="J80" s="431"/>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贵公司是否根据公司期望来审查供应商提交的尽职调查信息？ (*)</v>
      </c>
      <c r="C81" s="69"/>
      <c r="D81" s="378" t="s">
        <v>563</v>
      </c>
      <c r="E81" s="379"/>
      <c r="F81" s="69"/>
      <c r="G81" s="380"/>
      <c r="H81" s="381"/>
      <c r="I81" s="381"/>
      <c r="J81" s="382"/>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8"/>
      <c r="H82" s="438"/>
      <c r="I82" s="438"/>
      <c r="J82" s="438"/>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贵公司的验证程序是否包括纠正措施管理？ (*)</v>
      </c>
      <c r="C83" s="69"/>
      <c r="D83" s="378" t="s">
        <v>563</v>
      </c>
      <c r="E83" s="379"/>
      <c r="F83" s="69"/>
      <c r="G83" s="380"/>
      <c r="H83" s="381"/>
      <c r="I83" s="381"/>
      <c r="J83" s="382"/>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贵公司是否需要向 SEC 提交年度冲突矿产披露报告？ (*)</v>
      </c>
      <c r="C85" s="69"/>
      <c r="D85" s="378" t="s">
        <v>564</v>
      </c>
      <c r="E85" s="379"/>
      <c r="F85" s="69"/>
      <c r="G85" s="380"/>
      <c r="H85" s="381"/>
      <c r="I85" s="381"/>
      <c r="J85" s="382"/>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37" t="str">
        <f>IF(OR($D$8="",$I$3=""),"","Click here to check required fields completion")</f>
        <v/>
      </c>
      <c r="C86" s="437"/>
      <c r="D86" s="437"/>
      <c r="E86" s="437"/>
      <c r="F86" s="437"/>
      <c r="G86" s="437"/>
      <c r="H86" s="437"/>
      <c r="I86" s="437"/>
      <c r="J86" s="437"/>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35" t="str">
        <f ca="1">OFFSET(L!$C$1,MATCH("General"&amp;"Cpy",L!$A:$A,0)-1,SL,,)</f>
        <v>© 2018 Responsible Minerals Initiative。保留所有权利。</v>
      </c>
      <c r="B87" s="436"/>
      <c r="C87" s="436"/>
      <c r="D87" s="436"/>
      <c r="E87" s="436"/>
      <c r="F87" s="436"/>
      <c r="G87" s="436"/>
      <c r="H87" s="436"/>
      <c r="I87" s="436"/>
      <c r="J87" s="436"/>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7" priority="64" stopIfTrue="1">
      <formula>AND(OR($D$26="No",AND($D$26="Yes",$D$32="No")),OR($D$27="No",AND($D$27="Yes",$D$33="No")), OR($D$28="No",AND($D$28="Yes",$D$34="No")), OR($D$29="No",AND($D$29="Yes",$D$35="No")))</formula>
    </cfRule>
    <cfRule type="expression" dxfId="76" priority="65" stopIfTrue="1">
      <formula>IF(D69="",TRUE)</formula>
    </cfRule>
  </conditionalFormatting>
  <conditionalFormatting sqref="D26:E26">
    <cfRule type="expression" dxfId="75" priority="116" stopIfTrue="1">
      <formula>IF($D$26="",TRUE)</formula>
    </cfRule>
  </conditionalFormatting>
  <conditionalFormatting sqref="D27:E27">
    <cfRule type="expression" dxfId="74" priority="123" stopIfTrue="1">
      <formula>IF($D$27="",TRUE)</formula>
    </cfRule>
  </conditionalFormatting>
  <conditionalFormatting sqref="D28:E28">
    <cfRule type="expression" dxfId="73" priority="124" stopIfTrue="1">
      <formula>IF($D$28="",TRUE)</formula>
    </cfRule>
  </conditionalFormatting>
  <conditionalFormatting sqref="D29:E29">
    <cfRule type="expression" dxfId="72" priority="125" stopIfTrue="1">
      <formula>IF($D$29="",TRUE)</formula>
    </cfRule>
  </conditionalFormatting>
  <conditionalFormatting sqref="D34:E34 D40:E40 D46:E46 D52:E52 D58:E58 D64:E64">
    <cfRule type="expression" dxfId="71" priority="28" stopIfTrue="1">
      <formula>$P$28=""</formula>
    </cfRule>
  </conditionalFormatting>
  <conditionalFormatting sqref="D35:E35 D41:E41 D47:E47 D53:E53 D59:E59 D65:E65">
    <cfRule type="expression" dxfId="70" priority="143" stopIfTrue="1">
      <formula>$P$29=""</formula>
    </cfRule>
  </conditionalFormatting>
  <conditionalFormatting sqref="D32:E32">
    <cfRule type="expression" dxfId="69" priority="121" stopIfTrue="1">
      <formula>$P$26=""</formula>
    </cfRule>
  </conditionalFormatting>
  <conditionalFormatting sqref="D32:E32">
    <cfRule type="expression" dxfId="68" priority="34" stopIfTrue="1">
      <formula>IF(AND(OR($D$26="Yes",$D$26=""),$D$32=""),1,0)</formula>
    </cfRule>
  </conditionalFormatting>
  <conditionalFormatting sqref="D38 D44 D50 D56 D62">
    <cfRule type="expression" dxfId="67" priority="30" stopIfTrue="1">
      <formula>$P$32=""</formula>
    </cfRule>
  </conditionalFormatting>
  <conditionalFormatting sqref="D39:E39 D45 D51 D57 D63">
    <cfRule type="expression" dxfId="66" priority="29" stopIfTrue="1">
      <formula>$P$33=""</formula>
    </cfRule>
  </conditionalFormatting>
  <conditionalFormatting sqref="D40 D46 D52 D58 D64">
    <cfRule type="expression" dxfId="65" priority="19" stopIfTrue="1">
      <formula>$P$34=""</formula>
    </cfRule>
    <cfRule type="expression" dxfId="64" priority="141" stopIfTrue="1">
      <formula>IF(AND(OR($D$28="Yes",$D$28=""),D40=""),1,0)</formula>
    </cfRule>
  </conditionalFormatting>
  <conditionalFormatting sqref="D41 D47 D53 D59 D65">
    <cfRule type="expression" dxfId="63" priority="27" stopIfTrue="1">
      <formula>$P$35=""</formula>
    </cfRule>
  </conditionalFormatting>
  <conditionalFormatting sqref="D38:E38 D44:E44 D50:E50 D56:E56 D62:E62">
    <cfRule type="expression" dxfId="62" priority="32" stopIfTrue="1">
      <formula>$P$26=""</formula>
    </cfRule>
    <cfRule type="expression" dxfId="61" priority="33" stopIfTrue="1">
      <formula>IF(AND(OR($D$26="Yes",$D$26=""),D38=""),1,0)</formula>
    </cfRule>
  </conditionalFormatting>
  <conditionalFormatting sqref="G79:J79">
    <cfRule type="expression" dxfId="60" priority="26" stopIfTrue="1">
      <formula>IF(AND($D$79="Yes, using other format (describe)",$G$79=""),TRUE)</formula>
    </cfRule>
  </conditionalFormatting>
  <conditionalFormatting sqref="D39:E39 D45:E45 D51:E51 D57:E57 D63:E63">
    <cfRule type="expression" dxfId="59" priority="139" stopIfTrue="1">
      <formula>$P$39=""</formula>
    </cfRule>
    <cfRule type="expression" dxfId="58" priority="140" stopIfTrue="1">
      <formula>IF(AND(OR($D$27="Yes",$D$27=""),D39=""),1,0)</formula>
    </cfRule>
  </conditionalFormatting>
  <conditionalFormatting sqref="D33:E33">
    <cfRule type="expression" dxfId="57" priority="21" stopIfTrue="1">
      <formula>IF(AND(OR($D$27="Yes",$D$27=""),$D$33=""),1,0)</formula>
    </cfRule>
    <cfRule type="expression" dxfId="56" priority="22" stopIfTrue="1">
      <formula>$P$27=""</formula>
    </cfRule>
  </conditionalFormatting>
  <conditionalFormatting sqref="D34:E34">
    <cfRule type="expression" dxfId="55" priority="142" stopIfTrue="1">
      <formula>IF(AND(OR($D$28="Yes",$D$28=""),$D$34=""),1,0)</formula>
    </cfRule>
  </conditionalFormatting>
  <conditionalFormatting sqref="D41:E41 D47:E47 D53:E53 D59:E59 D65:E65">
    <cfRule type="expression" dxfId="54" priority="144" stopIfTrue="1">
      <formula>IF(AND(OR($D$29="Yes",$D$29=""),D41=""),1,0)</formula>
    </cfRule>
  </conditionalFormatting>
  <conditionalFormatting sqref="D35:E35">
    <cfRule type="expression" dxfId="53" priority="18" stopIfTrue="1">
      <formula>IF(AND(OR($D$29="Yes",$D$29=""),$D$35=""),1,0)</formula>
    </cfRule>
  </conditionalFormatting>
  <conditionalFormatting sqref="D8:J8">
    <cfRule type="expression" dxfId="52" priority="13" stopIfTrue="1">
      <formula>IF($D$8="",TRUE)</formula>
    </cfRule>
  </conditionalFormatting>
  <conditionalFormatting sqref="D9:G9">
    <cfRule type="expression" dxfId="51" priority="12" stopIfTrue="1">
      <formula>IF($D$9="",TRUE)</formula>
    </cfRule>
  </conditionalFormatting>
  <conditionalFormatting sqref="D10:J10">
    <cfRule type="expression" dxfId="50" priority="10" stopIfTrue="1">
      <formula>IF($D$9=$Q$9,TRUE)</formula>
    </cfRule>
    <cfRule type="expression" dxfId="49" priority="11" stopIfTrue="1">
      <formula>IF(AND($D$10="",$D$9=$R$9),TRUE)</formula>
    </cfRule>
  </conditionalFormatting>
  <conditionalFormatting sqref="D15:J15">
    <cfRule type="expression" dxfId="48" priority="9" stopIfTrue="1">
      <formula>IF($D$15="",TRUE)</formula>
    </cfRule>
  </conditionalFormatting>
  <conditionalFormatting sqref="D16:J16">
    <cfRule type="expression" dxfId="47" priority="8" stopIfTrue="1">
      <formula>IF($D$16="",TRUE)</formula>
    </cfRule>
  </conditionalFormatting>
  <conditionalFormatting sqref="D17:J17">
    <cfRule type="expression" dxfId="46" priority="7" stopIfTrue="1">
      <formula>IF($D$17="",TRUE)</formula>
    </cfRule>
  </conditionalFormatting>
  <conditionalFormatting sqref="D18:J18">
    <cfRule type="expression" dxfId="45" priority="6" stopIfTrue="1">
      <formula>IF($D$18="",TRUE)</formula>
    </cfRule>
  </conditionalFormatting>
  <conditionalFormatting sqref="D20:J20">
    <cfRule type="expression" dxfId="44" priority="5" stopIfTrue="1">
      <formula>IF($D$20="",TRUE)</formula>
    </cfRule>
  </conditionalFormatting>
  <conditionalFormatting sqref="D21:J21">
    <cfRule type="expression" dxfId="43" priority="4" stopIfTrue="1">
      <formula>IF($D$21="",TRUE)</formula>
    </cfRule>
  </conditionalFormatting>
  <conditionalFormatting sqref="D22:E22">
    <cfRule type="expression" dxfId="42" priority="2" stopIfTrue="1">
      <formula>IF($D$22="",TRUE)</formula>
    </cfRule>
  </conditionalFormatting>
  <conditionalFormatting sqref="G71:J71">
    <cfRule type="expression" dxfId="41"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I17" sqref="I17"/>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首先：</v>
      </c>
      <c r="C2" s="223"/>
      <c r="D2" s="223"/>
      <c r="E2" s="223"/>
      <c r="F2" s="269"/>
      <c r="G2" s="269"/>
      <c r="H2" s="269"/>
      <c r="I2" s="270"/>
      <c r="J2" s="440" t="str">
        <f ca="1">OFFSET(L!$C$1,MATCH("Smelter List"&amp;ADDRESS(ROW(),COLUMN(),4),L!$A:$A,0)-1,SL,,)</f>
        <v>链接到“RMAP 合规冶炼厂列表”</v>
      </c>
      <c r="K2" s="441"/>
      <c r="L2" s="441"/>
      <c r="M2" s="441"/>
      <c r="N2" s="441"/>
      <c r="O2" s="441"/>
      <c r="P2" s="271"/>
      <c r="Q2" s="272"/>
      <c r="R2" s="273"/>
      <c r="S2" s="273"/>
      <c r="T2" s="273"/>
      <c r="U2" s="203"/>
      <c r="V2" s="203"/>
      <c r="W2" s="204"/>
      <c r="X2" s="203"/>
      <c r="Y2" s="203"/>
      <c r="Z2" s="203"/>
      <c r="AH2" s="184" t="s">
        <v>563</v>
      </c>
    </row>
    <row r="3" spans="1:34" s="25" customFormat="1" ht="274.5" customHeight="1">
      <c r="A3" s="222"/>
      <c r="B3" s="442" t="str">
        <f ca="1">OFFSET(L!$C$1,MATCH("Smelter List"&amp;ADDRESS(ROW(),COLUMN(),4),L!$A:$A,0)-1,SL,,)</f>
        <v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v>
      </c>
      <c r="C3" s="442"/>
      <c r="D3" s="442"/>
      <c r="E3" s="442"/>
      <c r="F3" s="274"/>
      <c r="G3" s="443" t="str">
        <f ca="1">OFFSET(L!$C$1,MATCH("General"&amp;"Cpy",L!$A:$A,0)-1,SL,,)</f>
        <v>© 2018 Responsible Minerals Initiative。保留所有权利。</v>
      </c>
      <c r="H3" s="443"/>
      <c r="I3" s="444"/>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47.25">
      <c r="A4" s="182" t="str">
        <f ca="1">OFFSET(L!$C$1,MATCH("Smelter List"&amp;ADDRESS(ROW(),COLUMN(),4),L!$A:$A,0)-1,SL,,)</f>
        <v>冶炼厂识别号码输入列</v>
      </c>
      <c r="B4" s="182" t="str">
        <f ca="1">OFFSET(L!$C$1,MATCH("Smelter List"&amp;ADDRESS(ROW(),COLUMN(),4),L!$A:$A,0)-1,SL,,)</f>
        <v>金属 (*)</v>
      </c>
      <c r="C4" s="182" t="str">
        <f ca="1">OFFSET(L!$C$1,MATCH("Smelter List"&amp;ADDRESS(ROW(),COLUMN(),4),L!$A:$A,0)-1,SL,,)</f>
        <v>冶炼厂查找 (*)</v>
      </c>
      <c r="D4" s="182" t="str">
        <f ca="1">OFFSET(L!$C$1,MATCH("Smelter List"&amp;ADDRESS(ROW(),COLUMN(),4),L!$A:$A,0)-1,SL,,)</f>
        <v>冶炼厂名称 (1)</v>
      </c>
      <c r="E4" s="182" t="str">
        <f ca="1">OFFSET(L!$C$1,MATCH("Smelter List"&amp;ADDRESS(ROW(),COLUMN(),4),L!$A:$A,0)-1,SL,,)</f>
        <v>冶炼厂所在国家或地区 (*)</v>
      </c>
      <c r="F4" s="182" t="str">
        <f ca="1">OFFSET(L!$C$1,MATCH("Smelter List"&amp;ADDRESS(ROW(),COLUMN(),4),L!$A:$A,0)-1,SL,,)</f>
        <v>冶炼厂识别</v>
      </c>
      <c r="G4" s="182" t="str">
        <f ca="1">OFFSET(L!$C$1,MATCH("Smelter List"&amp;ADDRESS(ROW(),COLUMN(),4),L!$A:$A,0)-1,SL,,)</f>
        <v>冶炼厂出处识别号</v>
      </c>
      <c r="H4" s="183" t="str">
        <f ca="1">OFFSET(L!$C$1,MATCH("Smelter List"&amp;ADDRESS(ROW(),COLUMN(),4),L!$A:$A,0)-1,SL,,)</f>
        <v>冶炼厂所在街道</v>
      </c>
      <c r="I4" s="183" t="str">
        <f ca="1">OFFSET(L!$C$1,MATCH("Smelter List"&amp;ADDRESS(ROW(),COLUMN(),4),L!$A:$A,0)-1,SL,,)</f>
        <v>冶炼厂所在城市</v>
      </c>
      <c r="J4" s="183" t="str">
        <f ca="1">OFFSET(L!$C$1,MATCH("Smelter List"&amp;ADDRESS(ROW(),COLUMN(),4),L!$A:$A,0)-1,SL,,)</f>
        <v>冶炼厂地址：州/省</v>
      </c>
      <c r="K4" s="183" t="str">
        <f ca="1">OFFSET(L!$C$1,MATCH("Smelter List"&amp;ADDRESS(ROW(),COLUMN(),4),L!$A:$A,0)-1,SL,,)</f>
        <v>冶炼厂联系人</v>
      </c>
      <c r="L4" s="183" t="str">
        <f ca="1">OFFSET(L!$C$1,MATCH("Smelter List"&amp;ADDRESS(ROW(),COLUMN(),4),L!$A:$A,0)-1,SL,,)</f>
        <v>冶炼厂联系人电子邮件</v>
      </c>
      <c r="M4" s="183" t="str">
        <f ca="1">OFFSET(L!$C$1,MATCH("Smelter List"&amp;ADDRESS(ROW(),COLUMN(),4),L!$A:$A,0)-1,SL,,)</f>
        <v>建议的后续步骤</v>
      </c>
      <c r="N4" s="183" t="str">
        <f ca="1">OFFSET(L!$C$1,MATCH("Smelter List"&amp;ADDRESS(ROW(),COLUMN(),4),L!$A:$A,0)-1,SL,,)</f>
        <v>填写矿井名称，或如果所用矿产来自于回收料和报废料，请填写“回收”或“报废”。</v>
      </c>
      <c r="O4" s="183" t="str">
        <f ca="1">OFFSET(L!$C$1,MATCH("Smelter List"&amp;ADDRESS(ROW(),COLUMN(),4),L!$A:$A,0)-1,SL,,)</f>
        <v>填写矿井所在国家或地区，或如果所用矿产来自于回收料和报废料，请填写“回收”或“报废”。</v>
      </c>
      <c r="P4" s="183" t="str">
        <f ca="1">OFFSET(L!$C$1,MATCH("Smelter List"&amp;ADDRESS(ROW(),COLUMN(),4),L!$A:$A,0)-1,SL,,)</f>
        <v>冶炼厂的被冶炼物料是否 100% 来自于回收料或报废料？</v>
      </c>
      <c r="Q4" s="184" t="str">
        <f ca="1">OFFSET(L!$C$1,MATCH("Smelter List"&amp;ADDRESS(ROW(),COLUMN(),4),L!$A:$A,0)-1,SL,,)</f>
        <v>注释</v>
      </c>
      <c r="R4" s="182" t="s">
        <v>13586</v>
      </c>
      <c r="S4" s="182" t="s">
        <v>13562</v>
      </c>
      <c r="T4" s="182" t="s">
        <v>13563</v>
      </c>
      <c r="U4" s="278"/>
      <c r="V4" s="206"/>
      <c r="W4" s="206" t="s">
        <v>1469</v>
      </c>
      <c r="X4" s="206" t="s">
        <v>1070</v>
      </c>
      <c r="Y4" s="206"/>
      <c r="Z4" s="206"/>
      <c r="AH4" s="184" t="s">
        <v>565</v>
      </c>
    </row>
    <row r="5" spans="1:34" s="283" customFormat="1" ht="102">
      <c r="A5" s="345" t="s">
        <v>15437</v>
      </c>
      <c r="B5" s="346" t="s">
        <v>1265</v>
      </c>
      <c r="C5" s="347" t="s">
        <v>3</v>
      </c>
      <c r="D5" s="346" t="s">
        <v>3</v>
      </c>
      <c r="E5" s="346" t="s">
        <v>1232</v>
      </c>
      <c r="F5" s="346" t="s">
        <v>848</v>
      </c>
      <c r="G5" s="346" t="s">
        <v>15438</v>
      </c>
      <c r="H5" s="237">
        <v>0</v>
      </c>
      <c r="I5" s="238" t="s">
        <v>1858</v>
      </c>
      <c r="J5" s="238" t="s">
        <v>1851</v>
      </c>
      <c r="K5" s="240"/>
      <c r="L5" s="240"/>
      <c r="M5" s="240"/>
      <c r="N5" s="240"/>
      <c r="O5" s="240"/>
      <c r="P5" s="239"/>
      <c r="Q5" s="241"/>
      <c r="R5" s="236" t="str">
        <f ca="1">IF(ISERROR($V5),"",OFFSET('Smelter Look-up'!$C$4,$V5-4,0)&amp;"")</f>
        <v>Changsha South Tantalum Niobium Co., Ltd.</v>
      </c>
      <c r="S5" s="250" t="str">
        <f t="shared" ref="S5:S58" ca="1" si="0">IF(B5="","",IF(ISERROR(MATCH($E5,CL,0)),"Unknown",INDIRECT("'C'!$A$"&amp;MATCH($E5,CL,0)+1)))</f>
        <v>CN</v>
      </c>
      <c r="T5" s="250" t="str">
        <f ca="1">IF(B5="","",IF(ISERROR(MATCH($J5,SorP!$B$1:$B$6230,0)),"",INDIRECT("'SorP'!$A$"&amp;MATCH($J5,SorP!$B$1:$B$6230,0))))</f>
        <v>CN-43</v>
      </c>
      <c r="U5" s="280"/>
      <c r="V5" s="281">
        <f>IF(C5="",NA(),MATCH($B5&amp;$C5,'Smelter Look-up'!$J:$J,0))</f>
        <v>283</v>
      </c>
      <c r="W5" s="282"/>
      <c r="X5" s="282">
        <f t="shared" ref="X5:X58" si="1">IF(AND(C5="Smelter not listed",OR(LEN(D5)=0,LEN(E5)=0)),1,0)</f>
        <v>0</v>
      </c>
      <c r="Y5" s="282"/>
      <c r="Z5" s="282"/>
      <c r="AB5" s="284" t="str">
        <f t="shared" ref="AB5:AB58" si="2">B5&amp;C5</f>
        <v>TantalumChangsha South Tantalum Niobium Co., Ltd.</v>
      </c>
    </row>
    <row r="6" spans="1:34" s="283" customFormat="1" ht="63.75">
      <c r="A6" s="235" t="s">
        <v>15439</v>
      </c>
      <c r="B6" s="236" t="s">
        <v>1264</v>
      </c>
      <c r="C6" s="242" t="s">
        <v>3033</v>
      </c>
      <c r="D6" s="236" t="s">
        <v>3033</v>
      </c>
      <c r="E6" s="236" t="s">
        <v>1232</v>
      </c>
      <c r="F6" s="236" t="s">
        <v>911</v>
      </c>
      <c r="G6" s="236" t="s">
        <v>15438</v>
      </c>
      <c r="H6" s="237">
        <v>0</v>
      </c>
      <c r="I6" s="238" t="s">
        <v>3171</v>
      </c>
      <c r="J6" s="238" t="s">
        <v>1830</v>
      </c>
      <c r="K6" s="240"/>
      <c r="L6" s="240"/>
      <c r="M6" s="240"/>
      <c r="N6" s="240"/>
      <c r="O6" s="240"/>
      <c r="P6" s="239"/>
      <c r="Q6" s="241"/>
      <c r="R6" s="236" t="str">
        <f ca="1">IF(ISERROR($V6),"",OFFSET('Smelter Look-up'!$C$4,$V6-4,0)&amp;"")</f>
        <v>Yunnan Tin Company Limited</v>
      </c>
      <c r="S6" s="250" t="str">
        <f t="shared" ca="1" si="0"/>
        <v>CN</v>
      </c>
      <c r="T6" s="250" t="str">
        <f ca="1">IF(B6="","",IF(ISERROR(MATCH($J6,SorP!$B$1:$B$6230,0)),"",INDIRECT("'SorP'!$A$"&amp;MATCH($J6,SorP!$B$1:$B$6230,0))))</f>
        <v>CN-53</v>
      </c>
      <c r="U6" s="280"/>
      <c r="V6" s="281">
        <f>IF(C6="",NA(),MATCH($B6&amp;$C6,'Smelter Look-up'!$J:$J,0))</f>
        <v>502</v>
      </c>
      <c r="W6" s="282"/>
      <c r="X6" s="282">
        <f t="shared" si="1"/>
        <v>0</v>
      </c>
      <c r="Y6" s="282"/>
      <c r="Z6" s="282"/>
      <c r="AB6" s="284" t="str">
        <f t="shared" si="2"/>
        <v>TinYunnan Tin Company Limited</v>
      </c>
    </row>
    <row r="7" spans="1:34" s="283" customFormat="1" ht="114.75">
      <c r="A7" s="235" t="s">
        <v>15440</v>
      </c>
      <c r="B7" s="236" t="s">
        <v>1263</v>
      </c>
      <c r="C7" s="242" t="s">
        <v>2981</v>
      </c>
      <c r="D7" s="236" t="s">
        <v>2981</v>
      </c>
      <c r="E7" s="236" t="s">
        <v>1232</v>
      </c>
      <c r="F7" s="236" t="s">
        <v>781</v>
      </c>
      <c r="G7" s="236" t="s">
        <v>15438</v>
      </c>
      <c r="H7" s="237">
        <v>0</v>
      </c>
      <c r="I7" s="238" t="s">
        <v>1861</v>
      </c>
      <c r="J7" s="238" t="s">
        <v>4669</v>
      </c>
      <c r="K7" s="240"/>
      <c r="L7" s="240"/>
      <c r="M7" s="240"/>
      <c r="N7" s="240"/>
      <c r="O7" s="240"/>
      <c r="P7" s="239"/>
      <c r="Q7" s="241"/>
      <c r="R7" s="236" t="str">
        <f ca="1">IF(ISERROR($V7),"",OFFSET('Smelter Look-up'!$C$4,$V7-4,0)&amp;"")</f>
        <v>Inner Mongolia Qiankun Gold and Silver Refinery Share Co., Ltd.</v>
      </c>
      <c r="S7" s="250" t="str">
        <f t="shared" ca="1" si="0"/>
        <v>CN</v>
      </c>
      <c r="T7" s="250" t="str">
        <f ca="1">IF(B7="","",IF(ISERROR(MATCH($J7,SorP!$B$1:$B$6230,0)),"",INDIRECT("'SorP'!$A$"&amp;MATCH($J7,SorP!$B$1:$B$6230,0))))</f>
        <v>CN-15</v>
      </c>
      <c r="U7" s="280"/>
      <c r="V7" s="281">
        <f>IF(C7="",NA(),MATCH($B7&amp;$C7,'Smelter Look-up'!$J:$J,0))</f>
        <v>95</v>
      </c>
      <c r="W7" s="282"/>
      <c r="X7" s="282">
        <f t="shared" si="1"/>
        <v>0</v>
      </c>
      <c r="Y7" s="282"/>
      <c r="Z7" s="282"/>
      <c r="AB7" s="284" t="str">
        <f t="shared" si="2"/>
        <v>GoldInner Mongolia Qiankun Gold and Silver Refinery Share Co., Ltd.</v>
      </c>
    </row>
    <row r="8" spans="1:34" s="283" customFormat="1" ht="20.25">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2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8:B2493">
    <cfRule type="expression" dxfId="40" priority="25" stopIfTrue="1">
      <formula>IF(B8="",TRUE)</formula>
    </cfRule>
    <cfRule type="expression" dxfId="39" priority="36" stopIfTrue="1">
      <formula>IF(AND(COUNTIF(MetalSmelter,B8&amp;C8)=0,LEN(C8)&gt;0), TRUE, FALSE)</formula>
    </cfRule>
  </conditionalFormatting>
  <conditionalFormatting sqref="D8:D2493">
    <cfRule type="expression" dxfId="38" priority="19" stopIfTrue="1">
      <formula>IF(AND(LEN($C8) &gt;0, ($C8 &lt;&gt; "Smelter Not Listed")),1,0)</formula>
    </cfRule>
    <cfRule type="expression" dxfId="37" priority="44" stopIfTrue="1">
      <formula>IF(AND(D8="",$C8=$X$4),TRUE)</formula>
    </cfRule>
    <cfRule type="expression" dxfId="36" priority="45" stopIfTrue="1">
      <formula>IF(FIND("!",D8),TRUE)</formula>
    </cfRule>
  </conditionalFormatting>
  <conditionalFormatting sqref="G8:G2493">
    <cfRule type="expression" dxfId="35" priority="46" stopIfTrue="1">
      <formula>IF(FIND("Enter smelter details",G8),TRUE)</formula>
    </cfRule>
  </conditionalFormatting>
  <conditionalFormatting sqref="E8:E2493 R5:R2494">
    <cfRule type="expression" dxfId="34" priority="32" stopIfTrue="1">
      <formula>IF(AND(E5="",$C5=$X$4),TRUE)</formula>
    </cfRule>
    <cfRule type="expression" dxfId="33" priority="33" stopIfTrue="1">
      <formula>IF(FIND("!",E5),TRUE)</formula>
    </cfRule>
  </conditionalFormatting>
  <conditionalFormatting sqref="F8:F2493">
    <cfRule type="expression" dxfId="32" priority="23" stopIfTrue="1">
      <formula>IF(AND(LEN($A8)&gt;0,$A8&lt;&gt;$F8),TRUE,FALSE)</formula>
    </cfRule>
  </conditionalFormatting>
  <conditionalFormatting sqref="C8:C2493">
    <cfRule type="expression" dxfId="31" priority="22" stopIfTrue="1">
      <formula>IF(AND(B8&lt;&gt;"",C8=""),TRUE)</formula>
    </cfRule>
  </conditionalFormatting>
  <conditionalFormatting sqref="G5:G7">
    <cfRule type="expression" dxfId="30" priority="7" stopIfTrue="1">
      <formula>IF(FIND("Enter smelter details",G5),TRUE)</formula>
    </cfRule>
  </conditionalFormatting>
  <conditionalFormatting sqref="F5:F7">
    <cfRule type="expression" dxfId="29" priority="6" stopIfTrue="1">
      <formula>IF(AND(LEN($A5)&gt;0,$A5&lt;&gt;$F5),TRUE,FALSE)</formula>
    </cfRule>
  </conditionalFormatting>
  <conditionalFormatting sqref="B5:B7">
    <cfRule type="expression" dxfId="28" priority="2" stopIfTrue="1">
      <formula>IF(B5="",TRUE)</formula>
    </cfRule>
    <cfRule type="expression" dxfId="27" priority="3" stopIfTrue="1">
      <formula>IF(AND(COUNTIF(MetalSmelter,B5&amp;C5)=0,LEN(C5)&gt;0), TRUE, FALSE)</formula>
    </cfRule>
  </conditionalFormatting>
  <conditionalFormatting sqref="D5:E7">
    <cfRule type="expression" dxfId="26" priority="4" stopIfTrue="1">
      <formula>IF(AND(D5="",$C5=$U$4),TRUE)</formula>
    </cfRule>
    <cfRule type="expression" dxfId="25" priority="5" stopIfTrue="1">
      <formula>IF(FIND("!",D5),TRUE)</formula>
    </cfRule>
  </conditionalFormatting>
  <conditionalFormatting sqref="C5:C7">
    <cfRule type="expression" dxfId="24" priority="1"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C22" sqref="C22"/>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25.5">
      <c r="A1" s="445" t="str">
        <f ca="1">OFFSET(L!$C$1,MATCH("Checker"&amp;ADDRESS(ROW(),COLUMN(),4),L!$A:$A,0)-1,SL,,)</f>
        <v>将报告提交给客户以检查表格高亮显示为红色的任何行之前， 请确保已填妥所有必填字段。</v>
      </c>
      <c r="B1" s="445"/>
      <c r="C1" s="445"/>
      <c r="D1" s="151" t="str">
        <f ca="1">OFFSET(L!$C$1,MATCH("Checker"&amp;ADDRESS(ROW(),COLUMN(),4),L!$A:$A,0)-1,SL,,)</f>
        <v>待完成的必填字段</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必填字段</v>
      </c>
      <c r="B3" s="83" t="str">
        <f ca="1">OFFSET(L!$C$1,MATCH("Checker"&amp;ADDRESS(ROW(),COLUMN(),4),L!$A:$A,0)-1,SL,,)</f>
        <v>已提供的答案</v>
      </c>
      <c r="C3" s="83" t="str">
        <f ca="1">OFFSET(L!$C$1,MATCH("Checker"&amp;ADDRESS(ROW(),COLUMN(),4),L!$A:$A,0)-1,SL,,)</f>
        <v>备注</v>
      </c>
      <c r="D3" s="83" t="str">
        <f ca="1">OFFSET(L!$C$1,MATCH("Checker"&amp;ADDRESS(ROW(),COLUMN(),4),L!$A:$A,0)-1,SL,,)</f>
        <v>信息源超链接</v>
      </c>
      <c r="F3" s="84" t="s">
        <v>603</v>
      </c>
      <c r="G3" s="22" t="s">
        <v>602</v>
      </c>
      <c r="H3" s="22" t="s">
        <v>604</v>
      </c>
      <c r="I3" s="188" t="s">
        <v>1462</v>
      </c>
      <c r="J3" s="22" t="s">
        <v>1463</v>
      </c>
    </row>
    <row r="4" spans="1:10" ht="39">
      <c r="A4" s="107" t="str">
        <f ca="1">Declaration!B8</f>
        <v>公司名称 (*)：</v>
      </c>
      <c r="B4" s="106" t="str">
        <f>Declaration!D8</f>
        <v>XIAMEN ZETTLER ELECTRONICS CO.,LTD.</v>
      </c>
      <c r="C4" s="106" t="str">
        <f t="shared" ref="C4:C9" ca="1" si="0">IF(H4=1,J4,I4)</f>
        <v>填写</v>
      </c>
      <c r="D4" s="112" t="str">
        <f>IF(H4=1,"Click here to enter Company Name","")</f>
        <v/>
      </c>
      <c r="E4" s="88" t="s">
        <v>1452</v>
      </c>
      <c r="F4" s="110">
        <v>1</v>
      </c>
      <c r="G4" s="85">
        <f t="shared" ref="G4:G9" si="1">IF(B4=0,1,0)</f>
        <v>0</v>
      </c>
      <c r="H4" s="86">
        <f>F4*G4</f>
        <v>0</v>
      </c>
      <c r="I4" s="189" t="str">
        <f ca="1">OFFSET(L!$C$1,MATCH("Checker"&amp;"Comp",L!$A:$A,0)-1,SL,,)</f>
        <v>填写</v>
      </c>
      <c r="J4" s="190" t="str">
        <f ca="1">OFFSET(L!$C$1,MATCH("Checker"&amp;ADDRESS(ROW(),COLUMN(),4),L!$A:$A,0)-1,SL,,)</f>
        <v>在“申报”选项卡 D8 单元格中，提供贵公司的名称</v>
      </c>
    </row>
    <row r="5" spans="1:10" ht="39">
      <c r="A5" s="107" t="str">
        <f ca="1">Declaration!B9</f>
        <v>申报范围或种类 (*)：</v>
      </c>
      <c r="B5" s="106" t="str">
        <f>Declaration!D9</f>
        <v>A. Company</v>
      </c>
      <c r="C5" s="106" t="str">
        <f t="shared" ca="1" si="0"/>
        <v>填写</v>
      </c>
      <c r="D5" s="112" t="str">
        <f>IF(H5=1,"Click here to enter Declaration Scope","")</f>
        <v/>
      </c>
      <c r="E5" s="88" t="s">
        <v>1452</v>
      </c>
      <c r="F5" s="110">
        <v>1</v>
      </c>
      <c r="G5" s="85">
        <f t="shared" si="1"/>
        <v>0</v>
      </c>
      <c r="H5" s="86">
        <f t="shared" ref="H5:H23" si="2">F5*G5</f>
        <v>0</v>
      </c>
      <c r="I5" s="189" t="str">
        <f ca="1">OFFSET(L!$C$1,MATCH("Checker"&amp;"Comp",L!$A:$A,0)-1,SL,,)</f>
        <v>填写</v>
      </c>
      <c r="J5" s="190" t="str">
        <f ca="1">OFFSET(L!$C$1,MATCH("Checker"&amp;ADDRESS(ROW(),COLUMN(),4),L!$A:$A,0)-1,SL,,)</f>
        <v>在“申报”选项卡 D9 单元格中，选择申报范围</v>
      </c>
    </row>
    <row r="6" spans="1:10" ht="39">
      <c r="A6" s="107" t="str">
        <f ca="1">Declaration!B10</f>
        <v>范围描述：</v>
      </c>
      <c r="B6" s="106" t="str">
        <f>Declaration!D10</f>
        <v>LCM MODULE</v>
      </c>
      <c r="C6" s="106" t="str">
        <f t="shared" ca="1" si="0"/>
        <v>填写</v>
      </c>
      <c r="D6" s="112" t="str">
        <f>IF(H6=1,"Click here to provide a Description of Scope","")</f>
        <v/>
      </c>
      <c r="E6" s="88" t="s">
        <v>1452</v>
      </c>
      <c r="F6" s="111">
        <f>IF(OR(B5=Declaration!P9,B5=Declaration!Q9,B5=0),0,1)</f>
        <v>0</v>
      </c>
      <c r="G6" s="85">
        <f t="shared" si="1"/>
        <v>0</v>
      </c>
      <c r="H6" s="86">
        <f t="shared" si="2"/>
        <v>0</v>
      </c>
      <c r="I6" s="189" t="str">
        <f ca="1">OFFSET(L!$C$1,MATCH("Checker"&amp;"Comp",L!$A:$A,0)-1,SL,,)</f>
        <v>填写</v>
      </c>
      <c r="J6" s="22" t="str">
        <f ca="1">OFFSET(L!$C$1,MATCH("Checker"&amp;ADDRESS(ROW(),COLUMN(),4),L!$A:$A,0)-1,SL,,)</f>
        <v>在“申报”选项卡 D10 单元格中，提供范围说明</v>
      </c>
    </row>
    <row r="7" spans="1:10" ht="39">
      <c r="A7" s="107" t="str">
        <f ca="1">Declaration!B15</f>
        <v>联系人姓名 (*)：</v>
      </c>
      <c r="B7" s="106" t="str">
        <f>Declaration!D15</f>
        <v>cuidanfang</v>
      </c>
      <c r="C7" s="106" t="str">
        <f t="shared" ca="1" si="0"/>
        <v>填写</v>
      </c>
      <c r="D7" s="112" t="str">
        <f>IF(H7=1,"Click here to enter Contact Name","")</f>
        <v/>
      </c>
      <c r="E7" s="88" t="s">
        <v>1452</v>
      </c>
      <c r="F7" s="154">
        <v>1</v>
      </c>
      <c r="G7" s="85">
        <f t="shared" si="1"/>
        <v>0</v>
      </c>
      <c r="H7" s="86">
        <f t="shared" si="2"/>
        <v>0</v>
      </c>
      <c r="I7" s="189" t="str">
        <f ca="1">OFFSET(L!$C$1,MATCH("Checker"&amp;"Comp",L!$A:$A,0)-1,SL,,)</f>
        <v>填写</v>
      </c>
      <c r="J7" s="22" t="str">
        <f ca="1">OFFSET(L!$C$1,MATCH("Checker"&amp;ADDRESS(ROW(),COLUMN(),4),L!$A:$A,0)-1,SL,,)</f>
        <v>在“申报”选项卡 D15 单元格中，提供联系人姓名</v>
      </c>
    </row>
    <row r="8" spans="1:10" ht="39">
      <c r="A8" s="107" t="str">
        <f ca="1">Declaration!B16</f>
        <v>电子邮件 - 联系人 (*)：</v>
      </c>
      <c r="B8" s="106" t="str">
        <f>Declaration!D16</f>
        <v>DCC@zettlercn.com</v>
      </c>
      <c r="C8" s="106" t="str">
        <f t="shared" ca="1" si="0"/>
        <v>填写</v>
      </c>
      <c r="D8" s="112" t="str">
        <f>IF(H8=1,"Click here to enter Email-Contact","")</f>
        <v/>
      </c>
      <c r="E8" s="88" t="s">
        <v>1452</v>
      </c>
      <c r="F8" s="154">
        <v>1</v>
      </c>
      <c r="G8" s="85">
        <f>IF(ISNUMBER(SEARCH("@",B8)),0,1)</f>
        <v>0</v>
      </c>
      <c r="H8" s="86">
        <f t="shared" si="2"/>
        <v>0</v>
      </c>
      <c r="I8" s="189" t="str">
        <f ca="1">OFFSET(L!$C$1,MATCH("Checker"&amp;"Comp",L!$A:$A,0)-1,SL,,)</f>
        <v>填写</v>
      </c>
      <c r="J8" s="22" t="str">
        <f ca="1">OFFSET(L!$C$1,MATCH("Checker"&amp;ADDRESS(ROW(),COLUMN(),4),L!$A:$A,0)-1,SL,,)</f>
        <v>在“申报”选项卡 D16 单元格中，提供联系人的有效电子邮件</v>
      </c>
    </row>
    <row r="9" spans="1:10" ht="39">
      <c r="A9" s="107" t="str">
        <f ca="1">Declaration!B17</f>
        <v>电话 - 联系人 (*)：</v>
      </c>
      <c r="B9" s="106" t="str">
        <f>Declaration!D17</f>
        <v>0086-592-2631729</v>
      </c>
      <c r="C9" s="106" t="str">
        <f t="shared" ca="1" si="0"/>
        <v>填写</v>
      </c>
      <c r="D9" s="112" t="str">
        <f>IF(H9=1,"Click here to enter Phone-Contact","")</f>
        <v/>
      </c>
      <c r="E9" s="88" t="s">
        <v>1452</v>
      </c>
      <c r="F9" s="154">
        <v>1</v>
      </c>
      <c r="G9" s="85">
        <f t="shared" si="1"/>
        <v>0</v>
      </c>
      <c r="H9" s="86">
        <f t="shared" si="2"/>
        <v>0</v>
      </c>
      <c r="I9" s="189" t="str">
        <f ca="1">OFFSET(L!$C$1,MATCH("Checker"&amp;"Comp",L!$A:$A,0)-1,SL,,)</f>
        <v>填写</v>
      </c>
      <c r="J9" s="22" t="str">
        <f ca="1">OFFSET(L!$C$1,MATCH("Checker"&amp;ADDRESS(ROW(),COLUMN(),4),L!$A:$A,0)-1,SL,,)</f>
        <v>在“申报”选项卡 D17 单元格中，提供联系人的电话号码</v>
      </c>
    </row>
    <row r="10" spans="1:10" ht="39">
      <c r="A10" s="107" t="str">
        <f ca="1">Declaration!B18</f>
        <v>授权人 (*)：</v>
      </c>
      <c r="B10" s="106" t="str">
        <f>Declaration!D18</f>
        <v>Fufa Li</v>
      </c>
      <c r="C10" s="106" t="str">
        <f t="shared" ref="C10:C61" ca="1" si="3">IF(H10=1,J10,I10)</f>
        <v>填写</v>
      </c>
      <c r="D10" s="112" t="str">
        <f>IF(H10=1,"Click here to enter an Authorized Company Representative's name","")</f>
        <v/>
      </c>
      <c r="E10" s="88" t="s">
        <v>1452</v>
      </c>
      <c r="F10" s="110">
        <v>1</v>
      </c>
      <c r="G10" s="85">
        <f t="shared" ref="G10:G23" si="4">IF(B10=0,1,0)</f>
        <v>0</v>
      </c>
      <c r="H10" s="86">
        <f t="shared" si="2"/>
        <v>0</v>
      </c>
      <c r="I10" s="189" t="str">
        <f ca="1">OFFSET(L!$C$1,MATCH("Checker"&amp;"Comp",L!$A:$A,0)-1,SL,,)</f>
        <v>填写</v>
      </c>
      <c r="J10" s="22" t="str">
        <f ca="1">OFFSET(L!$C$1,MATCH("Checker"&amp;ADDRESS(ROW(),COLUMN(),4),L!$A:$A,0)-1,SL,,)</f>
        <v>在“申报”选项卡 D18 单元格中，提供授权公司代表联系人姓名</v>
      </c>
    </row>
    <row r="11" spans="1:10" ht="39">
      <c r="A11" s="107" t="str">
        <f ca="1">Declaration!B20</f>
        <v>电子邮件 - 授权人 (*)：</v>
      </c>
      <c r="B11" s="106" t="str">
        <f>Declaration!D20</f>
        <v>lifufa@zettlercn.com</v>
      </c>
      <c r="C11" s="106" t="str">
        <f t="shared" ca="1" si="3"/>
        <v>填写</v>
      </c>
      <c r="D11" s="112" t="str">
        <f>IF(H11=1,"Click here to enter Representative's email","")</f>
        <v/>
      </c>
      <c r="E11" s="88" t="s">
        <v>1452</v>
      </c>
      <c r="F11" s="110">
        <v>1</v>
      </c>
      <c r="G11" s="85">
        <f>IF(ISNUMBER(SEARCH("@",B11)),0,1)</f>
        <v>0</v>
      </c>
      <c r="H11" s="86">
        <f t="shared" si="2"/>
        <v>0</v>
      </c>
      <c r="I11" s="189" t="str">
        <f ca="1">OFFSET(L!$C$1,MATCH("Checker"&amp;"Comp",L!$A:$A,0)-1,SL,,)</f>
        <v>填写</v>
      </c>
      <c r="J11" s="22" t="str">
        <f ca="1">OFFSET(L!$C$1,MATCH("Checker"&amp;ADDRESS(ROW(),COLUMN(),4),L!$A:$A,0)-1,SL,,)</f>
        <v>在“申报”选项卡 D20 单元格中，提供授权公司代表的有效电子邮件</v>
      </c>
    </row>
    <row r="12" spans="1:10" ht="39">
      <c r="A12" s="107" t="str">
        <f ca="1">Declaration!B21</f>
        <v>电话 - 授权人 (*)：</v>
      </c>
      <c r="B12" s="106" t="str">
        <f>Declaration!D21</f>
        <v>+86 592 2650911</v>
      </c>
      <c r="C12" s="106" t="str">
        <f ca="1">IF(H12=1,J12,I12)</f>
        <v>填写</v>
      </c>
      <c r="D12" s="112" t="str">
        <f>IF(H12=1,"Click here to enter Representative's phone","")</f>
        <v/>
      </c>
      <c r="E12" s="88" t="s">
        <v>1452</v>
      </c>
      <c r="F12" s="110">
        <v>1</v>
      </c>
      <c r="G12" s="85">
        <f>IF(B12=0,1,0)</f>
        <v>0</v>
      </c>
      <c r="H12" s="86">
        <f>F12*G12</f>
        <v>0</v>
      </c>
      <c r="I12" s="189" t="str">
        <f ca="1">OFFSET(L!$C$1,MATCH("Checker"&amp;"Comp",L!$A:$A,0)-1,SL,,)</f>
        <v>填写</v>
      </c>
      <c r="J12" s="22" t="str">
        <f ca="1">OFFSET(L!$C$1,MATCH("Checker"&amp;ADDRESS(ROW(),COLUMN(),4),L!$A:$A,0)-1,SL,,)</f>
        <v>在“申报”选项卡 D21 单元格中，提供授权公司代表的电话号码</v>
      </c>
    </row>
    <row r="13" spans="1:10" ht="39">
      <c r="A13" s="107" t="str">
        <f ca="1">Declaration!B22</f>
        <v>生效日期 (*)：</v>
      </c>
      <c r="B13" s="108">
        <f>Declaration!D22</f>
        <v>43446</v>
      </c>
      <c r="C13" s="106" t="str">
        <f t="shared" ca="1" si="3"/>
        <v>填写</v>
      </c>
      <c r="D13" s="112" t="str">
        <f>IF(H13=1,"Click here to enter Date of Completion","")</f>
        <v/>
      </c>
      <c r="E13" s="88" t="s">
        <v>1452</v>
      </c>
      <c r="F13" s="110">
        <v>1</v>
      </c>
      <c r="G13" s="85">
        <f t="shared" si="4"/>
        <v>0</v>
      </c>
      <c r="H13" s="86">
        <f t="shared" si="2"/>
        <v>0</v>
      </c>
      <c r="I13" s="189" t="str">
        <f ca="1">OFFSET(L!$C$1,MATCH("Checker"&amp;"Comp",L!$A:$A,0)-1,SL,,)</f>
        <v>填写</v>
      </c>
      <c r="J13" s="22" t="str">
        <f ca="1">OFFSET(L!$C$1,MATCH("Checker"&amp;ADDRESS(ROW(),COLUMN(),4),L!$A:$A,0)-1,SL,,)</f>
        <v>在“申报”选项卡 D22 单元格中，提供表格填写日期</v>
      </c>
    </row>
    <row r="14" spans="1:10" ht="63.75">
      <c r="A14" s="106" t="str">
        <f ca="1">Declaration!B25</f>
        <v>1) 是否在产品或生产流程中有意添加或使用任何 3TG？(*)</v>
      </c>
      <c r="B14" s="109"/>
      <c r="C14" s="109"/>
      <c r="D14" s="113"/>
      <c r="E14" s="88" t="s">
        <v>933</v>
      </c>
      <c r="F14" s="110"/>
      <c r="G14" s="24"/>
      <c r="H14" s="87">
        <f t="shared" si="2"/>
        <v>0</v>
      </c>
    </row>
    <row r="15" spans="1:10" ht="26.25">
      <c r="A15" s="107" t="str">
        <f ca="1">Declaration!B26</f>
        <v>钽(*)</v>
      </c>
      <c r="B15" s="106" t="str">
        <f>Declaration!D26</f>
        <v>Yes</v>
      </c>
      <c r="C15" s="106" t="str">
        <f t="shared" ca="1" si="3"/>
        <v>填写</v>
      </c>
      <c r="D15" s="112" t="str">
        <f>IF(H15=1,"Click here to answer question 1 for Tantalum","")</f>
        <v/>
      </c>
      <c r="E15" s="88" t="s">
        <v>929</v>
      </c>
      <c r="F15" s="110">
        <v>1</v>
      </c>
      <c r="G15" s="85">
        <f t="shared" si="4"/>
        <v>0</v>
      </c>
      <c r="H15" s="86">
        <f t="shared" si="2"/>
        <v>0</v>
      </c>
      <c r="I15" s="189" t="str">
        <f ca="1">OFFSET(L!$C$1,MATCH("Checker"&amp;"Comp",L!$A:$A,0)-1,SL,,)</f>
        <v>填写</v>
      </c>
      <c r="J15" s="190" t="str">
        <f ca="1">OFFSET(L!$C$1,MATCH("Checker"&amp;ADDRESS(ROW(),COLUMN(),4),L!$A:$A,0)-1,SL,,)</f>
        <v>在“申报”选项卡 D26 单元格中，申报是否有意将钽添加至贵公司的产品中</v>
      </c>
    </row>
    <row r="16" spans="1:10" ht="39">
      <c r="A16" s="107" t="str">
        <f ca="1">Declaration!B27</f>
        <v>锡(*)</v>
      </c>
      <c r="B16" s="106" t="str">
        <f>Declaration!D27</f>
        <v>Yes</v>
      </c>
      <c r="C16" s="106" t="str">
        <f t="shared" ca="1" si="3"/>
        <v>填写</v>
      </c>
      <c r="D16" s="112" t="str">
        <f>IF(H16=1,"Click here to answer question 1 for Tin","")</f>
        <v/>
      </c>
      <c r="E16" s="88" t="s">
        <v>930</v>
      </c>
      <c r="F16" s="110">
        <v>1</v>
      </c>
      <c r="G16" s="85">
        <f t="shared" si="4"/>
        <v>0</v>
      </c>
      <c r="H16" s="86">
        <f t="shared" si="2"/>
        <v>0</v>
      </c>
      <c r="I16" s="189" t="str">
        <f ca="1">OFFSET(L!$C$1,MATCH("Checker"&amp;"Comp",L!$A:$A,0)-1,SL,,)</f>
        <v>填写</v>
      </c>
      <c r="J16" s="190" t="str">
        <f ca="1">OFFSET(L!$C$1,MATCH("Checker"&amp;ADDRESS(ROW(),COLUMN(),4),L!$A:$A,0)-1,SL,,)</f>
        <v>在“申报”选项卡 D27 单元格中，申报是否有意将锡添加至贵公司的产品中</v>
      </c>
    </row>
    <row r="17" spans="1:10" ht="39">
      <c r="A17" s="107" t="str">
        <f ca="1">Declaration!B28</f>
        <v>金(*)</v>
      </c>
      <c r="B17" s="106" t="str">
        <f>Declaration!D28</f>
        <v>Yes</v>
      </c>
      <c r="C17" s="106" t="str">
        <f t="shared" ca="1" si="3"/>
        <v>填写</v>
      </c>
      <c r="D17" s="112" t="str">
        <f>IF(H17=1,"Click here to answer question 1 for Gold","")</f>
        <v/>
      </c>
      <c r="E17" s="88" t="s">
        <v>930</v>
      </c>
      <c r="F17" s="110">
        <v>1</v>
      </c>
      <c r="G17" s="85">
        <f t="shared" si="4"/>
        <v>0</v>
      </c>
      <c r="H17" s="86">
        <f t="shared" si="2"/>
        <v>0</v>
      </c>
      <c r="I17" s="189" t="str">
        <f ca="1">OFFSET(L!$C$1,MATCH("Checker"&amp;"Comp",L!$A:$A,0)-1,SL,,)</f>
        <v>填写</v>
      </c>
      <c r="J17" s="190" t="str">
        <f ca="1">OFFSET(L!$C$1,MATCH("Checker"&amp;ADDRESS(ROW(),COLUMN(),4),L!$A:$A,0)-1,SL,,)</f>
        <v>在“申报”选项卡 D28 单元格中，申报是否有意将金添加至贵公司的产品中</v>
      </c>
    </row>
    <row r="18" spans="1:10" ht="39">
      <c r="A18" s="107" t="str">
        <f ca="1">Declaration!B29</f>
        <v>钨</v>
      </c>
      <c r="B18" s="106" t="str">
        <f>Declaration!D29</f>
        <v>No</v>
      </c>
      <c r="C18" s="106" t="str">
        <f t="shared" ca="1" si="3"/>
        <v>填写</v>
      </c>
      <c r="D18" s="112" t="str">
        <f>IF(H18=1,"Click here to answer question 1 for Tungsten","")</f>
        <v/>
      </c>
      <c r="E18" s="88" t="s">
        <v>930</v>
      </c>
      <c r="F18" s="110">
        <v>1</v>
      </c>
      <c r="G18" s="85">
        <f t="shared" si="4"/>
        <v>0</v>
      </c>
      <c r="H18" s="86">
        <f t="shared" si="2"/>
        <v>0</v>
      </c>
      <c r="I18" s="189" t="str">
        <f ca="1">OFFSET(L!$C$1,MATCH("Checker"&amp;"Comp",L!$A:$A,0)-1,SL,,)</f>
        <v>填写</v>
      </c>
      <c r="J18" s="190" t="str">
        <f ca="1">OFFSET(L!$C$1,MATCH("Checker"&amp;ADDRESS(ROW(),COLUMN(),4),L!$A:$A,0)-1,SL,,)</f>
        <v>在“申报”选项卡 D29 单元格中，申报是否有意将钨添加至贵公司的产品中</v>
      </c>
    </row>
    <row r="19" spans="1:10" ht="51">
      <c r="A19" s="106" t="str">
        <f ca="1">Declaration!B31</f>
        <v>2) 是否有任何 3TG 仍存在于产品中？ (*)</v>
      </c>
      <c r="B19" s="109"/>
      <c r="C19" s="109"/>
      <c r="D19" s="113"/>
      <c r="E19" s="88" t="s">
        <v>931</v>
      </c>
      <c r="F19" s="110"/>
      <c r="G19" s="24"/>
      <c r="H19" s="24"/>
      <c r="J19" s="190"/>
    </row>
    <row r="20" spans="1:10" ht="39">
      <c r="A20" s="107" t="str">
        <f ca="1">Declaration!B32</f>
        <v>钽(*)</v>
      </c>
      <c r="B20" s="106" t="str">
        <f>IF($B$15="Yes",Declaration!D32,0)</f>
        <v>Yes</v>
      </c>
      <c r="C20" s="106" t="str">
        <f t="shared" ca="1" si="3"/>
        <v>填写</v>
      </c>
      <c r="D20" s="114" t="str">
        <f>IF(H20=1,"Click here to answer question 2 for Tantalum","")</f>
        <v/>
      </c>
      <c r="E20" s="88" t="s">
        <v>930</v>
      </c>
      <c r="F20" s="111">
        <f>IF(B$15="No",0,1)</f>
        <v>1</v>
      </c>
      <c r="G20" s="85">
        <f t="shared" si="4"/>
        <v>0</v>
      </c>
      <c r="H20" s="86">
        <f t="shared" si="2"/>
        <v>0</v>
      </c>
      <c r="I20" s="189" t="str">
        <f ca="1">OFFSET(L!$C$1,MATCH("Checker"&amp;"Comp",L!$A:$A,0)-1,SL,,)</f>
        <v>填写</v>
      </c>
      <c r="J20" s="190" t="str">
        <f ca="1">OFFSET(L!$C$1,MATCH("Checker"&amp;ADDRESS(ROW(),COLUMN(),4),L!$A:$A,0)-1,SL,,)</f>
        <v>在“申报”选项卡 D32 单元格中，申报钽是否必须用于贵公司产品的生产中，并且包含在申报的成品内</v>
      </c>
    </row>
    <row r="21" spans="1:10" ht="39">
      <c r="A21" s="107" t="str">
        <f ca="1">Declaration!B33</f>
        <v>锡(*)</v>
      </c>
      <c r="B21" s="106" t="str">
        <f>IF($B$16="Yes",Declaration!D33,0)</f>
        <v>Yes</v>
      </c>
      <c r="C21" s="106" t="str">
        <f t="shared" ca="1" si="3"/>
        <v>填写</v>
      </c>
      <c r="D21" s="114" t="str">
        <f>IF(H21=1,"Click here to answer question 2 for Tin","")</f>
        <v/>
      </c>
      <c r="E21" s="88" t="s">
        <v>930</v>
      </c>
      <c r="F21" s="111">
        <f>IF(B$16="No",0,1)</f>
        <v>1</v>
      </c>
      <c r="G21" s="85">
        <f t="shared" si="4"/>
        <v>0</v>
      </c>
      <c r="H21" s="86">
        <f t="shared" si="2"/>
        <v>0</v>
      </c>
      <c r="I21" s="189" t="str">
        <f ca="1">OFFSET(L!$C$1,MATCH("Checker"&amp;"Comp",L!$A:$A,0)-1,SL,,)</f>
        <v>填写</v>
      </c>
      <c r="J21" s="190" t="str">
        <f ca="1">OFFSET(L!$C$1,MATCH("Checker"&amp;ADDRESS(ROW(),COLUMN(),4),L!$A:$A,0)-1,SL,,)</f>
        <v>在“申报”选项卡 D33 单元格中，申报锡是否必须用于贵公司产品的生产中，并且包含在申报的成品内</v>
      </c>
    </row>
    <row r="22" spans="1:10" ht="39">
      <c r="A22" s="107" t="str">
        <f ca="1">Declaration!B34</f>
        <v>金(*)</v>
      </c>
      <c r="B22" s="106" t="str">
        <f>IF($B$17="Yes",Declaration!D34,0)</f>
        <v>Yes</v>
      </c>
      <c r="C22" s="106" t="str">
        <f t="shared" ca="1" si="3"/>
        <v>填写</v>
      </c>
      <c r="D22" s="114" t="str">
        <f>IF(H22=1,"Click here to answer question 2 for Gold","")</f>
        <v/>
      </c>
      <c r="E22" s="88" t="s">
        <v>930</v>
      </c>
      <c r="F22" s="111">
        <f>IF(B$17="No",0,1)</f>
        <v>1</v>
      </c>
      <c r="G22" s="85">
        <f t="shared" si="4"/>
        <v>0</v>
      </c>
      <c r="H22" s="86">
        <f t="shared" si="2"/>
        <v>0</v>
      </c>
      <c r="I22" s="189" t="str">
        <f ca="1">OFFSET(L!$C$1,MATCH("Checker"&amp;"Comp",L!$A:$A,0)-1,SL,,)</f>
        <v>填写</v>
      </c>
      <c r="J22" s="190" t="str">
        <f ca="1">OFFSET(L!$C$1,MATCH("Checker"&amp;ADDRESS(ROW(),COLUMN(),4),L!$A:$A,0)-1,SL,,)</f>
        <v>在“申报”选项卡 D34 单元格中，申报金是否必须用于贵公司产品的生产中，并且包含在申报的成品内</v>
      </c>
    </row>
    <row r="23" spans="1:10" ht="39">
      <c r="A23" s="107" t="str">
        <f ca="1">Declaration!B35</f>
        <v>钨</v>
      </c>
      <c r="B23" s="106">
        <f>IF($B$18="Yes",Declaration!D35,0)</f>
        <v>0</v>
      </c>
      <c r="C23" s="106" t="str">
        <f t="shared" ca="1" si="3"/>
        <v>填写</v>
      </c>
      <c r="D23" s="114" t="str">
        <f>IF(H23=1,"Click here to answer question 2 for Tungsten","")</f>
        <v/>
      </c>
      <c r="E23" s="88" t="s">
        <v>930</v>
      </c>
      <c r="F23" s="111">
        <f>IF(B$18="No",0,1)</f>
        <v>0</v>
      </c>
      <c r="G23" s="85">
        <f t="shared" si="4"/>
        <v>1</v>
      </c>
      <c r="H23" s="86">
        <f t="shared" si="2"/>
        <v>0</v>
      </c>
      <c r="I23" s="189" t="str">
        <f ca="1">OFFSET(L!$C$1,MATCH("Checker"&amp;"Comp",L!$A:$A,0)-1,SL,,)</f>
        <v>填写</v>
      </c>
      <c r="J23" s="190" t="str">
        <f ca="1">OFFSET(L!$C$1,MATCH("Checker"&amp;ADDRESS(ROW(),COLUMN(),4),L!$A:$A,0)-1,SL,,)</f>
        <v>在“申报”选项卡 D35 单元格中，申报钨是否必须用于贵公司产品的生产中，并且包含在申报的成品内</v>
      </c>
    </row>
    <row r="24" spans="1:10" ht="57.75" customHeight="1">
      <c r="A24" s="106" t="str">
        <f ca="1">Declaration!B37</f>
        <v>3) 贵公司供应链中的冶炼厂是否从所指明的国家采购 3TG？（有关术语“SEC”，请参见定义选项卡） (*)</v>
      </c>
      <c r="B24" s="109"/>
      <c r="C24" s="109"/>
      <c r="D24" s="113"/>
      <c r="E24" s="88" t="s">
        <v>930</v>
      </c>
      <c r="F24" s="110"/>
      <c r="G24" s="24"/>
      <c r="H24" s="24"/>
      <c r="J24" s="190"/>
    </row>
    <row r="25" spans="1:10" ht="39">
      <c r="A25" s="107" t="str">
        <f ca="1">Declaration!B38</f>
        <v>钽(*)</v>
      </c>
      <c r="B25" s="106" t="str">
        <f>IF(AND($B$15="Yes",$B$20="Yes"),Declaration!D38,0)</f>
        <v>Yes</v>
      </c>
      <c r="C25" s="106" t="str">
        <f t="shared" ca="1" si="3"/>
        <v>填写</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填写</v>
      </c>
      <c r="J25" s="22" t="str">
        <f ca="1">OFFSET(L!$C$1,MATCH("Checker"&amp;ADDRESS(ROW(),COLUMN(),4),L!$A:$A,0)-1,SL,,)</f>
        <v>在“申报”选项卡 D38 单元格中，申报在此调查回答里申报的产品范围内所用钽的原产地是否为刚果民主共和国或毗邻国家或地区</v>
      </c>
    </row>
    <row r="26" spans="1:10" ht="39">
      <c r="A26" s="107" t="str">
        <f ca="1">Declaration!B39</f>
        <v>锡(*)</v>
      </c>
      <c r="B26" s="106" t="str">
        <f>IF(AND($B$16="Yes",$B$21="Yes"),Declaration!D39,0)</f>
        <v>Yes</v>
      </c>
      <c r="C26" s="106" t="str">
        <f t="shared" ca="1" si="3"/>
        <v>填写</v>
      </c>
      <c r="D26" s="114" t="str">
        <f>IF(H26=1,"Click here to answer question 3 for Tin","")</f>
        <v/>
      </c>
      <c r="E26" s="88" t="s">
        <v>930</v>
      </c>
      <c r="F26" s="111">
        <f>IF(OR(B16="No",B21="No"),0,1)</f>
        <v>1</v>
      </c>
      <c r="G26" s="85">
        <f t="shared" si="5"/>
        <v>0</v>
      </c>
      <c r="H26" s="86">
        <f t="shared" si="6"/>
        <v>0</v>
      </c>
      <c r="I26" s="189" t="str">
        <f ca="1">OFFSET(L!$C$1,MATCH("Checker"&amp;"Comp",L!$A:$A,0)-1,SL,,)</f>
        <v>填写</v>
      </c>
      <c r="J26" s="22" t="str">
        <f ca="1">OFFSET(L!$C$1,MATCH("Checker"&amp;ADDRESS(ROW(),COLUMN(),4),L!$A:$A,0)-1,SL,,)</f>
        <v>在“申报”选项卡 D39 单元格中，申报在此调查回答里申报的产品范围内所用锡的原产地是否为刚果民主共和国或毗邻国家或地区</v>
      </c>
    </row>
    <row r="27" spans="1:10" ht="39">
      <c r="A27" s="107" t="str">
        <f ca="1">Declaration!B40</f>
        <v>金(*)</v>
      </c>
      <c r="B27" s="106" t="str">
        <f>IF(AND($B$17="Yes",$B$22="Yes"),Declaration!D40,0)</f>
        <v>Yes</v>
      </c>
      <c r="C27" s="106" t="str">
        <f t="shared" ca="1" si="3"/>
        <v>填写</v>
      </c>
      <c r="D27" s="114" t="str">
        <f>IF(H27=1,"Click here to answer question 3 for Gold","")</f>
        <v/>
      </c>
      <c r="E27" s="88" t="s">
        <v>930</v>
      </c>
      <c r="F27" s="111">
        <f>IF(OR(B17="No",B22="No"),0,1)</f>
        <v>1</v>
      </c>
      <c r="G27" s="85">
        <f t="shared" si="5"/>
        <v>0</v>
      </c>
      <c r="H27" s="86">
        <f t="shared" si="6"/>
        <v>0</v>
      </c>
      <c r="I27" s="189" t="str">
        <f ca="1">OFFSET(L!$C$1,MATCH("Checker"&amp;"Comp",L!$A:$A,0)-1,SL,,)</f>
        <v>填写</v>
      </c>
      <c r="J27" s="22" t="str">
        <f ca="1">OFFSET(L!$C$1,MATCH("Checker"&amp;ADDRESS(ROW(),COLUMN(),4),L!$A:$A,0)-1,SL,,)</f>
        <v>在“申报”选项卡 D40 单元格中，申报在此调查回答里申报的产品范围内所用金的原产地是否为刚果民主共和国或毗邻国家或地区</v>
      </c>
    </row>
    <row r="28" spans="1:10" ht="39">
      <c r="A28" s="107" t="str">
        <f ca="1">Declaration!B41</f>
        <v>钨</v>
      </c>
      <c r="B28" s="106">
        <f>IF(AND($B$18="Yes",$B$23="Yes"),Declaration!D41,0)</f>
        <v>0</v>
      </c>
      <c r="C28" s="106" t="str">
        <f t="shared" ca="1" si="3"/>
        <v>填写</v>
      </c>
      <c r="D28" s="114" t="str">
        <f>IF(H28=1,"Click here to answer question 3 for Tungsten","")</f>
        <v/>
      </c>
      <c r="E28" s="88" t="s">
        <v>930</v>
      </c>
      <c r="F28" s="111">
        <f>IF(OR(B18="No",B23="No"),0,1)</f>
        <v>0</v>
      </c>
      <c r="G28" s="85">
        <f t="shared" si="5"/>
        <v>1</v>
      </c>
      <c r="H28" s="86">
        <f t="shared" si="6"/>
        <v>0</v>
      </c>
      <c r="I28" s="189" t="str">
        <f ca="1">OFFSET(L!$C$1,MATCH("Checker"&amp;"Comp",L!$A:$A,0)-1,SL,,)</f>
        <v>填写</v>
      </c>
      <c r="J28" s="22" t="str">
        <f ca="1">OFFSET(L!$C$1,MATCH("Checker"&amp;ADDRESS(ROW(),COLUMN(),4),L!$A:$A,0)-1,SL,,)</f>
        <v>在“申报”选项卡 D41 单元格中，申报在此调查回答里申报的产品范围内所用钨的原产地是否为刚果民主共和国或毗邻国家或地区</v>
      </c>
    </row>
    <row r="29" spans="1:10" ht="38.25">
      <c r="A29" s="106" t="str">
        <f ca="1">Declaration!B43</f>
        <v>4) 是否 100% 的 3TG（因产品功能或生产而必须使用）来自于回收料或报废料？ (*)</v>
      </c>
      <c r="B29" s="109"/>
      <c r="C29" s="109"/>
      <c r="D29" s="113"/>
      <c r="E29" s="88" t="s">
        <v>1452</v>
      </c>
      <c r="F29" s="110"/>
      <c r="G29" s="24"/>
      <c r="H29" s="24"/>
      <c r="J29" s="190"/>
    </row>
    <row r="30" spans="1:10" ht="39">
      <c r="A30" s="107" t="str">
        <f ca="1">Declaration!B44</f>
        <v>钽(*)</v>
      </c>
      <c r="B30" s="106" t="str">
        <f>IF(AND($B$15="Yes",$B$20="Yes"),Declaration!D44,0)</f>
        <v>No</v>
      </c>
      <c r="C30" s="106" t="str">
        <f ca="1">IF(H30=1,J30,I30)</f>
        <v>填写</v>
      </c>
      <c r="D30" s="114" t="str">
        <f>IF(H30=1,"Click here to answer question 4 for Tantalum","")</f>
        <v/>
      </c>
      <c r="E30" s="88" t="s">
        <v>1452</v>
      </c>
      <c r="F30" s="111">
        <f>F25</f>
        <v>1</v>
      </c>
      <c r="G30" s="85">
        <f>IF(B30=0,1,0)</f>
        <v>0</v>
      </c>
      <c r="H30" s="86">
        <f>F30*G30</f>
        <v>0</v>
      </c>
      <c r="I30" s="189" t="str">
        <f ca="1">OFFSET(L!$C$1,MATCH("Checker"&amp;"Comp",L!$A:$A,0)-1,SL,,)</f>
        <v>填写</v>
      </c>
      <c r="J30" s="190" t="str">
        <f ca="1">OFFSET(L!$C$1,MATCH("Checker"&amp;ADDRESS(ROW(),COLUMN(),4),L!$A:$A,0)-1,SL,,)</f>
        <v>在“申报”选项卡 D44 单元格中，申报在此调查回答里申报的产品范围内所用钽是否完全来自回收料或报废料</v>
      </c>
    </row>
    <row r="31" spans="1:10" ht="39">
      <c r="A31" s="107" t="str">
        <f ca="1">Declaration!B45</f>
        <v>锡(*)</v>
      </c>
      <c r="B31" s="106" t="str">
        <f>IF(AND($B$16="Yes",$B$21="Yes"),Declaration!D45,0)</f>
        <v>No</v>
      </c>
      <c r="C31" s="106" t="str">
        <f ca="1">IF(H31=1,J31,I31)</f>
        <v>填写</v>
      </c>
      <c r="D31" s="114" t="str">
        <f>IF(H31=1,"Click here to answer question 4 for Tin","")</f>
        <v/>
      </c>
      <c r="E31" s="88" t="s">
        <v>1452</v>
      </c>
      <c r="F31" s="111">
        <f>F26</f>
        <v>1</v>
      </c>
      <c r="G31" s="85">
        <f>IF(B31=0,1,0)</f>
        <v>0</v>
      </c>
      <c r="H31" s="86">
        <f>F31*G31</f>
        <v>0</v>
      </c>
      <c r="I31" s="189" t="str">
        <f ca="1">OFFSET(L!$C$1,MATCH("Checker"&amp;"Comp",L!$A:$A,0)-1,SL,,)</f>
        <v>填写</v>
      </c>
      <c r="J31" s="190" t="str">
        <f ca="1">OFFSET(L!$C$1,MATCH("Checker"&amp;ADDRESS(ROW(),COLUMN(),4),L!$A:$A,0)-1,SL,,)</f>
        <v>在“申报”选项卡 D45 单元格中，申报在此调查回答里申报的产品范围内所用锡是否完全来自回收料或报废料</v>
      </c>
    </row>
    <row r="32" spans="1:10" ht="39">
      <c r="A32" s="107" t="str">
        <f ca="1">Declaration!B46</f>
        <v>金(*)</v>
      </c>
      <c r="B32" s="106" t="str">
        <f>IF(AND($B$17="Yes",$B$22="Yes"),Declaration!D46,0)</f>
        <v>No</v>
      </c>
      <c r="C32" s="106" t="str">
        <f ca="1">IF(H32=1,J32,I32)</f>
        <v>填写</v>
      </c>
      <c r="D32" s="114" t="str">
        <f>IF(H32=1,"Click here to answer question 4 for Gold","")</f>
        <v/>
      </c>
      <c r="E32" s="88" t="s">
        <v>1452</v>
      </c>
      <c r="F32" s="111">
        <f>F27</f>
        <v>1</v>
      </c>
      <c r="G32" s="85">
        <f>IF(B32=0,1,0)</f>
        <v>0</v>
      </c>
      <c r="H32" s="86">
        <f>F32*G32</f>
        <v>0</v>
      </c>
      <c r="I32" s="189" t="str">
        <f ca="1">OFFSET(L!$C$1,MATCH("Checker"&amp;"Comp",L!$A:$A,0)-1,SL,,)</f>
        <v>填写</v>
      </c>
      <c r="J32" s="190" t="str">
        <f ca="1">OFFSET(L!$C$1,MATCH("Checker"&amp;ADDRESS(ROW(),COLUMN(),4),L!$A:$A,0)-1,SL,,)</f>
        <v>在“申报”选项卡 D46 单元格中，申报在此调查回答里申报的产品范围内所用金是否完全来自回收料或报废料</v>
      </c>
    </row>
    <row r="33" spans="1:10" ht="39">
      <c r="A33" s="107" t="str">
        <f ca="1">Declaration!B47</f>
        <v>钨</v>
      </c>
      <c r="B33" s="106">
        <f>IF(AND($B$18="Yes",$B$23="Yes"),Declaration!D47,0)</f>
        <v>0</v>
      </c>
      <c r="C33" s="106" t="str">
        <f ca="1">IF(H33=1,J33,I33)</f>
        <v>填写</v>
      </c>
      <c r="D33" s="114" t="str">
        <f>IF(H33=1,"Click here to answer question 4 for Tungsten","")</f>
        <v/>
      </c>
      <c r="E33" s="88" t="s">
        <v>1452</v>
      </c>
      <c r="F33" s="111">
        <f>F28</f>
        <v>0</v>
      </c>
      <c r="G33" s="85">
        <f>IF(B33=0,1,0)</f>
        <v>1</v>
      </c>
      <c r="H33" s="86">
        <f>F33*G33</f>
        <v>0</v>
      </c>
      <c r="I33" s="189" t="str">
        <f ca="1">OFFSET(L!$C$1,MATCH("Checker"&amp;"Comp",L!$A:$A,0)-1,SL,,)</f>
        <v>填写</v>
      </c>
      <c r="J33" s="190" t="str">
        <f ca="1">OFFSET(L!$C$1,MATCH("Checker"&amp;ADDRESS(ROW(),COLUMN(),4),L!$A:$A,0)-1,SL,,)</f>
        <v>在“申报”选项卡 D46 单元格中，申报在此调查回答里申报的产品范围内所用钨是否完全来自回收料或报废料</v>
      </c>
    </row>
    <row r="34" spans="1:10" ht="38.25">
      <c r="A34" s="106" t="str">
        <f ca="1">Declaration!B49</f>
        <v>5) 已对贵公司供应链调查提供答复的相关供应商百分比是多少？ (*)</v>
      </c>
      <c r="B34" s="109"/>
      <c r="C34" s="109"/>
      <c r="D34" s="113"/>
      <c r="E34" s="88" t="s">
        <v>930</v>
      </c>
      <c r="F34" s="110"/>
      <c r="G34" s="24"/>
      <c r="H34" s="24"/>
    </row>
    <row r="35" spans="1:10" ht="26.25">
      <c r="A35" s="107" t="str">
        <f ca="1">Declaration!B50</f>
        <v>钽(*)</v>
      </c>
      <c r="B35" s="106">
        <f>IF(AND($B$15="Yes",$B$20="Yes"),Declaration!D50,0)</f>
        <v>1</v>
      </c>
      <c r="C35" s="106" t="str">
        <f t="shared" ca="1" si="3"/>
        <v>填写</v>
      </c>
      <c r="D35" s="112" t="str">
        <f>IF(H35=1,"Click here to answer question 5 for Tantalum","")</f>
        <v/>
      </c>
      <c r="E35" s="88" t="s">
        <v>929</v>
      </c>
      <c r="F35" s="111">
        <f>F25</f>
        <v>1</v>
      </c>
      <c r="G35" s="85">
        <f t="shared" si="5"/>
        <v>0</v>
      </c>
      <c r="H35" s="86">
        <f t="shared" si="6"/>
        <v>0</v>
      </c>
      <c r="I35" s="189" t="str">
        <f ca="1">OFFSET(L!$C$1,MATCH("Checker"&amp;"Comp",L!$A:$A,0)-1,SL,,)</f>
        <v>填写</v>
      </c>
      <c r="J35" s="22" t="str">
        <f ca="1">OFFSET(L!$C$1,MATCH("Checker"&amp;ADDRESS(ROW(),COLUMN(),4),L!$A:$A,0)-1,SL,,)</f>
        <v>在“申报”选项卡 D50 单元格中，提供供应商的冶炼厂信息填写百分比</v>
      </c>
    </row>
    <row r="36" spans="1:10" ht="26.25">
      <c r="A36" s="107" t="str">
        <f ca="1">Declaration!B51</f>
        <v>锡(*)</v>
      </c>
      <c r="B36" s="106">
        <f>IF(AND($B$16="Yes",$B$21="Yes"),Declaration!D51,0)</f>
        <v>1</v>
      </c>
      <c r="C36" s="106" t="str">
        <f ca="1">IF(H36=1,J36,I36)</f>
        <v>填写</v>
      </c>
      <c r="D36" s="112" t="str">
        <f>IF(H36=1,"Click here to answer question 5 for Tin","")</f>
        <v/>
      </c>
      <c r="E36" s="88" t="s">
        <v>929</v>
      </c>
      <c r="F36" s="111">
        <f>F26</f>
        <v>1</v>
      </c>
      <c r="G36" s="85">
        <f t="shared" si="5"/>
        <v>0</v>
      </c>
      <c r="H36" s="86">
        <f t="shared" si="6"/>
        <v>0</v>
      </c>
      <c r="I36" s="189" t="str">
        <f ca="1">OFFSET(L!$C$1,MATCH("Checker"&amp;"Comp",L!$A:$A,0)-1,SL,,)</f>
        <v>填写</v>
      </c>
      <c r="J36" s="22" t="str">
        <f ca="1">OFFSET(L!$C$1,MATCH("Checker"&amp;ADDRESS(ROW(),COLUMN(),4),L!$A:$A,0)-1,SL,,)</f>
        <v>在“申报”选项卡 D51 单元格中，提供供应商的冶炼厂信息填写百分比</v>
      </c>
    </row>
    <row r="37" spans="1:10" ht="26.25">
      <c r="A37" s="107" t="str">
        <f ca="1">Declaration!B52</f>
        <v>金(*)</v>
      </c>
      <c r="B37" s="106">
        <f>IF(AND($B$17="Yes",$B$22="Yes"),Declaration!D52,0)</f>
        <v>1</v>
      </c>
      <c r="C37" s="106" t="str">
        <f t="shared" ca="1" si="3"/>
        <v>填写</v>
      </c>
      <c r="D37" s="112" t="str">
        <f>IF(H37=1,"Click here to answer question 5 for Gold","")</f>
        <v/>
      </c>
      <c r="E37" s="88" t="s">
        <v>929</v>
      </c>
      <c r="F37" s="111">
        <f>F27</f>
        <v>1</v>
      </c>
      <c r="G37" s="85">
        <f t="shared" si="5"/>
        <v>0</v>
      </c>
      <c r="H37" s="86">
        <f t="shared" si="6"/>
        <v>0</v>
      </c>
      <c r="I37" s="189" t="str">
        <f ca="1">OFFSET(L!$C$1,MATCH("Checker"&amp;"Comp",L!$A:$A,0)-1,SL,,)</f>
        <v>填写</v>
      </c>
      <c r="J37" s="22" t="str">
        <f ca="1">OFFSET(L!$C$1,MATCH("Checker"&amp;ADDRESS(ROW(),COLUMN(),4),L!$A:$A,0)-1,SL,,)</f>
        <v>在“申报”选项卡 D52 单元格中，提供供应商的冶炼厂信息填写百分比</v>
      </c>
    </row>
    <row r="38" spans="1:10" ht="26.25">
      <c r="A38" s="107" t="str">
        <f ca="1">Declaration!B53</f>
        <v>钨</v>
      </c>
      <c r="B38" s="106">
        <f>IF(AND($B$18="Yes",$B$23="Yes"),Declaration!D53,0)</f>
        <v>0</v>
      </c>
      <c r="C38" s="106" t="str">
        <f t="shared" ca="1" si="3"/>
        <v>填写</v>
      </c>
      <c r="D38" s="112" t="str">
        <f>IF(H38=1,"Click here to answer question 5 for Tungsten","")</f>
        <v/>
      </c>
      <c r="E38" s="88" t="s">
        <v>929</v>
      </c>
      <c r="F38" s="111">
        <f>F28</f>
        <v>0</v>
      </c>
      <c r="G38" s="85">
        <f t="shared" si="5"/>
        <v>1</v>
      </c>
      <c r="H38" s="86">
        <f t="shared" si="6"/>
        <v>0</v>
      </c>
      <c r="I38" s="189" t="str">
        <f ca="1">OFFSET(L!$C$1,MATCH("Checker"&amp;"Comp",L!$A:$A,0)-1,SL,,)</f>
        <v>填写</v>
      </c>
      <c r="J38" s="22" t="str">
        <f ca="1">OFFSET(L!$C$1,MATCH("Checker"&amp;ADDRESS(ROW(),COLUMN(),4),L!$A:$A,0)-1,SL,,)</f>
        <v>在“申报”选项卡 D53 单元格中，提供供应商的冶炼厂信息填写百分比</v>
      </c>
    </row>
    <row r="39" spans="1:10" ht="51">
      <c r="A39" s="106" t="str">
        <f ca="1">Declaration!B55</f>
        <v>6) 您是否识别出为贵公司供应链供应 3TG 的所有冶炼厂？ (*)</v>
      </c>
      <c r="B39" s="109"/>
      <c r="C39" s="109"/>
      <c r="D39" s="113"/>
      <c r="E39" s="88" t="s">
        <v>931</v>
      </c>
      <c r="F39" s="110"/>
      <c r="G39" s="24"/>
      <c r="H39" s="24"/>
    </row>
    <row r="40" spans="1:10" ht="51.75">
      <c r="A40" s="107" t="str">
        <f ca="1">Declaration!B56</f>
        <v>钽(*)</v>
      </c>
      <c r="B40" s="106" t="str">
        <f>IF(AND($B$15="Yes",$B$20="Yes"),Declaration!D56,0)</f>
        <v>Yes</v>
      </c>
      <c r="C40" s="106" t="str">
        <f t="shared" ca="1" si="3"/>
        <v>填写</v>
      </c>
      <c r="D40" s="114" t="str">
        <f>IF(H40=1,"Click here to answer question 6 for Tantalum","")</f>
        <v/>
      </c>
      <c r="E40" s="88" t="s">
        <v>1448</v>
      </c>
      <c r="F40" s="111">
        <f>F25</f>
        <v>1</v>
      </c>
      <c r="G40" s="85">
        <f t="shared" si="5"/>
        <v>0</v>
      </c>
      <c r="H40" s="86">
        <f t="shared" si="6"/>
        <v>0</v>
      </c>
      <c r="I40" s="189" t="str">
        <f ca="1">OFFSET(L!$C$1,MATCH("Checker"&amp;"Comp",L!$A:$A,0)-1,SL,,)</f>
        <v>填写</v>
      </c>
      <c r="J40" s="22" t="str">
        <f ca="1">OFFSET(L!$C$1,MATCH("Checker"&amp;ADDRESS(ROW(),COLUMN(),4),L!$A:$A,0)-1,SL,,)</f>
        <v>在“申报”选项卡 D56 单元格中，申报是否在此调查回答里的申报产品范围下方提供了所有冶炼厂名称</v>
      </c>
    </row>
    <row r="41" spans="1:10" ht="51.75">
      <c r="A41" s="107" t="str">
        <f ca="1">Declaration!B57</f>
        <v>锡(*)</v>
      </c>
      <c r="B41" s="106" t="str">
        <f>IF(AND($B$16="Yes",$B$21="Yes"),Declaration!D57,0)</f>
        <v>Yes</v>
      </c>
      <c r="C41" s="106" t="str">
        <f t="shared" ca="1" si="3"/>
        <v>填写</v>
      </c>
      <c r="D41" s="114" t="str">
        <f>IF(H41=1,"Click here to answer question 6 for Tin","")</f>
        <v/>
      </c>
      <c r="E41" s="88" t="s">
        <v>1448</v>
      </c>
      <c r="F41" s="111">
        <f>F26</f>
        <v>1</v>
      </c>
      <c r="G41" s="85">
        <f t="shared" si="5"/>
        <v>0</v>
      </c>
      <c r="H41" s="86">
        <f t="shared" si="6"/>
        <v>0</v>
      </c>
      <c r="I41" s="189" t="str">
        <f ca="1">OFFSET(L!$C$1,MATCH("Checker"&amp;"Comp",L!$A:$A,0)-1,SL,,)</f>
        <v>填写</v>
      </c>
      <c r="J41" s="22" t="str">
        <f ca="1">OFFSET(L!$C$1,MATCH("Checker"&amp;ADDRESS(ROW(),COLUMN(),4),L!$A:$A,0)-1,SL,,)</f>
        <v>在“申报”选项卡 D57 单元格中，申报是否在此调查回答里的申报产品范围下方提供了所有冶炼厂名称</v>
      </c>
    </row>
    <row r="42" spans="1:10" ht="51.75">
      <c r="A42" s="107" t="str">
        <f ca="1">Declaration!B58</f>
        <v>金(*)</v>
      </c>
      <c r="B42" s="106" t="str">
        <f>IF(AND($B$17="Yes",$B$22="Yes"),Declaration!D58,0)</f>
        <v>Yes</v>
      </c>
      <c r="C42" s="106" t="str">
        <f t="shared" ca="1" si="3"/>
        <v>填写</v>
      </c>
      <c r="D42" s="114" t="str">
        <f>IF(H42=1,"Click here to answer question 6 for Gold","")</f>
        <v/>
      </c>
      <c r="E42" s="88" t="s">
        <v>1448</v>
      </c>
      <c r="F42" s="111">
        <f>F27</f>
        <v>1</v>
      </c>
      <c r="G42" s="85">
        <f t="shared" si="5"/>
        <v>0</v>
      </c>
      <c r="H42" s="86">
        <f t="shared" si="6"/>
        <v>0</v>
      </c>
      <c r="I42" s="189" t="str">
        <f ca="1">OFFSET(L!$C$1,MATCH("Checker"&amp;"Comp",L!$A:$A,0)-1,SL,,)</f>
        <v>填写</v>
      </c>
      <c r="J42" s="22" t="str">
        <f ca="1">OFFSET(L!$C$1,MATCH("Checker"&amp;ADDRESS(ROW(),COLUMN(),4),L!$A:$A,0)-1,SL,,)</f>
        <v>在“申报”选项卡 D58 单元格中，申报是否在此调查回答里的申报产品范围下方提供了所有冶炼厂名称</v>
      </c>
    </row>
    <row r="43" spans="1:10" ht="51.75">
      <c r="A43" s="107" t="str">
        <f ca="1">Declaration!B59</f>
        <v>钨</v>
      </c>
      <c r="B43" s="106">
        <f>IF(AND($B$18="Yes",$B$23="Yes"),Declaration!D59,0)</f>
        <v>0</v>
      </c>
      <c r="C43" s="106" t="str">
        <f t="shared" ca="1" si="3"/>
        <v>填写</v>
      </c>
      <c r="D43" s="114" t="str">
        <f>IF(H43=1,"Click here to answer question 6 for Tungsten","")</f>
        <v/>
      </c>
      <c r="E43" s="88" t="s">
        <v>1448</v>
      </c>
      <c r="F43" s="111">
        <f>F28</f>
        <v>0</v>
      </c>
      <c r="G43" s="85">
        <f t="shared" si="5"/>
        <v>1</v>
      </c>
      <c r="H43" s="86">
        <f t="shared" si="6"/>
        <v>0</v>
      </c>
      <c r="I43" s="189" t="str">
        <f ca="1">OFFSET(L!$C$1,MATCH("Checker"&amp;"Comp",L!$A:$A,0)-1,SL,,)</f>
        <v>填写</v>
      </c>
      <c r="J43" s="22" t="str">
        <f ca="1">OFFSET(L!$C$1,MATCH("Checker"&amp;ADDRESS(ROW(),COLUMN(),4),L!$A:$A,0)-1,SL,,)</f>
        <v>在“申报”选项卡 D59 单元格中，申报是否在此调查回答里的申报产品范围下方提供了所有冶炼厂名称</v>
      </c>
    </row>
    <row r="44" spans="1:10" ht="63.75">
      <c r="A44" s="106" t="str">
        <f ca="1">Declaration!B61</f>
        <v>7) 贵公司收到的所有适用冶炼厂信息是否已在此申报中报告？ (*)</v>
      </c>
      <c r="B44" s="109"/>
      <c r="C44" s="109"/>
      <c r="D44" s="113"/>
      <c r="E44" s="88" t="s">
        <v>932</v>
      </c>
      <c r="F44" s="110"/>
      <c r="G44" s="24"/>
      <c r="H44" s="24"/>
    </row>
    <row r="45" spans="1:10" ht="39">
      <c r="A45" s="107" t="str">
        <f ca="1">Declaration!B62</f>
        <v>钽(*)</v>
      </c>
      <c r="B45" s="106" t="str">
        <f>IF(AND($B$15="Yes",$B$20="Yes"),Declaration!D62,0)</f>
        <v>Yes</v>
      </c>
      <c r="C45" s="106" t="str">
        <f t="shared" ca="1" si="3"/>
        <v>填写</v>
      </c>
      <c r="D45" s="115" t="str">
        <f>IF(H45=1,"Click here to answer question 7 for Tantalum","")</f>
        <v/>
      </c>
      <c r="E45" s="88" t="s">
        <v>930</v>
      </c>
      <c r="F45" s="111">
        <f>F25</f>
        <v>1</v>
      </c>
      <c r="G45" s="85">
        <f t="shared" si="5"/>
        <v>0</v>
      </c>
      <c r="H45" s="86">
        <f t="shared" si="6"/>
        <v>0</v>
      </c>
      <c r="I45" s="189" t="str">
        <f ca="1">OFFSET(L!$C$1,MATCH("Checker"&amp;"Comp",L!$A:$A,0)-1,SL,,)</f>
        <v>填写</v>
      </c>
      <c r="J45" s="22" t="str">
        <f ca="1">OFFSET(L!$C$1,MATCH("Checker"&amp;ADDRESS(ROW(),COLUMN(),4),L!$A:$A,0)-1,SL,,)</f>
        <v>在“申报”选项卡 D62 单元格中，申报是否已提供所有适用钽冶炼厂信息</v>
      </c>
    </row>
    <row r="46" spans="1:10" ht="39">
      <c r="A46" s="107" t="str">
        <f ca="1">Declaration!B63</f>
        <v>锡(*)</v>
      </c>
      <c r="B46" s="106" t="str">
        <f>IF(AND($B$16="Yes",$B$21="Yes"),Declaration!D63,0)</f>
        <v>Yes</v>
      </c>
      <c r="C46" s="106" t="str">
        <f t="shared" ca="1" si="3"/>
        <v>填写</v>
      </c>
      <c r="D46" s="115" t="str">
        <f>IF(H46=1,"Click here to answer question 7 for Tin","")</f>
        <v/>
      </c>
      <c r="E46" s="88" t="s">
        <v>930</v>
      </c>
      <c r="F46" s="111">
        <f>F26</f>
        <v>1</v>
      </c>
      <c r="G46" s="85">
        <f t="shared" si="5"/>
        <v>0</v>
      </c>
      <c r="H46" s="86">
        <f t="shared" si="6"/>
        <v>0</v>
      </c>
      <c r="I46" s="189" t="str">
        <f ca="1">OFFSET(L!$C$1,MATCH("Checker"&amp;"Comp",L!$A:$A,0)-1,SL,,)</f>
        <v>填写</v>
      </c>
      <c r="J46" s="22" t="str">
        <f ca="1">OFFSET(L!$C$1,MATCH("Checker"&amp;ADDRESS(ROW(),COLUMN(),4),L!$A:$A,0)-1,SL,,)</f>
        <v>在“申报”选项卡 D63 单元格中，申报是否已提供所有适用锡冶炼厂信息</v>
      </c>
    </row>
    <row r="47" spans="1:10" ht="39">
      <c r="A47" s="107" t="str">
        <f ca="1">Declaration!B64</f>
        <v>金(*)</v>
      </c>
      <c r="B47" s="106" t="str">
        <f>IF(AND($B$17="Yes",$B$22="Yes"),Declaration!D64,0)</f>
        <v>Yes</v>
      </c>
      <c r="C47" s="106" t="str">
        <f t="shared" ca="1" si="3"/>
        <v>填写</v>
      </c>
      <c r="D47" s="115" t="str">
        <f>IF(H47=1,"Click here to answer question 7 for Gold","")</f>
        <v/>
      </c>
      <c r="E47" s="88" t="s">
        <v>930</v>
      </c>
      <c r="F47" s="111">
        <f>F27</f>
        <v>1</v>
      </c>
      <c r="G47" s="85">
        <f t="shared" si="5"/>
        <v>0</v>
      </c>
      <c r="H47" s="86">
        <f t="shared" si="6"/>
        <v>0</v>
      </c>
      <c r="I47" s="189" t="str">
        <f ca="1">OFFSET(L!$C$1,MATCH("Checker"&amp;"Comp",L!$A:$A,0)-1,SL,,)</f>
        <v>填写</v>
      </c>
      <c r="J47" s="22" t="str">
        <f ca="1">OFFSET(L!$C$1,MATCH("Checker"&amp;ADDRESS(ROW(),COLUMN(),4),L!$A:$A,0)-1,SL,,)</f>
        <v>在“申报”选项卡 D64 单元格中，申报是否已提供所有适用金冶炼厂信息</v>
      </c>
    </row>
    <row r="48" spans="1:10" ht="39">
      <c r="A48" s="107" t="str">
        <f ca="1">Declaration!B65</f>
        <v>钨</v>
      </c>
      <c r="B48" s="106">
        <f>IF(AND($B$18="Yes",$B$23="Yes"),Declaration!D65,0)</f>
        <v>0</v>
      </c>
      <c r="C48" s="106" t="str">
        <f t="shared" ca="1" si="3"/>
        <v>填写</v>
      </c>
      <c r="D48" s="115" t="str">
        <f>IF(H48=1,"Click here to answer question 7 for Tungsten","")</f>
        <v/>
      </c>
      <c r="E48" s="88" t="s">
        <v>930</v>
      </c>
      <c r="F48" s="111">
        <f>F28</f>
        <v>0</v>
      </c>
      <c r="G48" s="85">
        <f t="shared" si="5"/>
        <v>1</v>
      </c>
      <c r="H48" s="86">
        <f t="shared" si="6"/>
        <v>0</v>
      </c>
      <c r="I48" s="189" t="str">
        <f ca="1">OFFSET(L!$C$1,MATCH("Checker"&amp;"Comp",L!$A:$A,0)-1,SL,,)</f>
        <v>填写</v>
      </c>
      <c r="J48" s="22" t="str">
        <f ca="1">OFFSET(L!$C$1,MATCH("Checker"&amp;ADDRESS(ROW(),COLUMN(),4),L!$A:$A,0)-1,SL,,)</f>
        <v>在“申报”选项卡 D65 单元格中，申报是否已提供所有适用钨冶炼厂信息</v>
      </c>
    </row>
    <row r="49" spans="1:12" ht="25.5">
      <c r="A49" s="106" t="str">
        <f ca="1">Declaration!B68</f>
        <v>问题</v>
      </c>
      <c r="B49" s="109"/>
      <c r="C49" s="109"/>
      <c r="D49" s="113"/>
      <c r="E49" s="88" t="s">
        <v>514</v>
      </c>
      <c r="F49" s="110"/>
      <c r="G49" s="110"/>
      <c r="H49" s="110"/>
    </row>
    <row r="50" spans="1:12" ht="39">
      <c r="A50" s="106" t="str">
        <f ca="1">Declaration!B69</f>
        <v>A. 贵公司是否已制定冲突矿产采购政策？ (*)</v>
      </c>
      <c r="B50" s="106" t="str">
        <f>Declaration!D69</f>
        <v>Yes</v>
      </c>
      <c r="C50" s="106" t="str">
        <f t="shared" ca="1" si="3"/>
        <v>填写</v>
      </c>
      <c r="D50" s="112" t="str">
        <f>IF(H50=1,"Click here to answer question (A)","")</f>
        <v/>
      </c>
      <c r="E50" s="88" t="s">
        <v>1452</v>
      </c>
      <c r="F50" s="111">
        <f>IF(SUM(F$25:F$28)=0,0,1)</f>
        <v>1</v>
      </c>
      <c r="G50" s="85">
        <f t="shared" si="5"/>
        <v>0</v>
      </c>
      <c r="H50" s="86">
        <f t="shared" si="6"/>
        <v>0</v>
      </c>
      <c r="I50" s="189" t="str">
        <f ca="1">OFFSET(L!$C$1,MATCH("Checker"&amp;"Comp",L!$A:$A,0)-1,SL,,)</f>
        <v>填写</v>
      </c>
      <c r="J50" s="22" t="str">
        <f ca="1">OFFSET(L!$C$1,MATCH("Checker"&amp;ADDRESS(ROW(),COLUMN(),4),L!$A:$A,0)-1,SL,,)</f>
        <v>在“申报”选项卡 D69 单元格中，回答贵公司是否制定了不使用刚果民主共和国涉及冲突之冲突矿产的采购政策</v>
      </c>
    </row>
    <row r="51" spans="1:12" ht="54.75" customHeight="1">
      <c r="A51" s="106" t="str">
        <f ca="1">Declaration!B71</f>
        <v>B. 贵公司的冲突矿产采购政策是否公开发布于贵公司网页上？（备注 - 如果是，请在注释字段中注明 URL。） (*)</v>
      </c>
      <c r="B51" s="106" t="str">
        <f>Declaration!D71</f>
        <v>Yes</v>
      </c>
      <c r="C51" s="106" t="str">
        <f t="shared" ca="1" si="3"/>
        <v>填写</v>
      </c>
      <c r="D51" s="112" t="str">
        <f>IF(H51=1,"Click here to answer question (B)","")</f>
        <v/>
      </c>
      <c r="E51" s="88" t="s">
        <v>1452</v>
      </c>
      <c r="F51" s="111">
        <f t="shared" ref="F51:F60" si="7">F$50</f>
        <v>1</v>
      </c>
      <c r="G51" s="85">
        <f t="shared" si="5"/>
        <v>0</v>
      </c>
      <c r="H51" s="86">
        <f t="shared" si="6"/>
        <v>0</v>
      </c>
      <c r="I51" s="189" t="str">
        <f ca="1">OFFSET(L!$C$1,MATCH("Checker"&amp;"Comp",L!$A:$A,0)-1,SL,,)</f>
        <v>填写</v>
      </c>
      <c r="J51" s="22" t="str">
        <f ca="1">OFFSET(L!$C$1,MATCH("Checker"&amp;ADDRESS(ROW(),COLUMN(),4),L!$A:$A,0)-1,SL,,)</f>
        <v>在“申报”选项卡 D71 单元格中，回答贵公司是否在贵公司的网站上公开发布不使用刚果民主共和国涉及冲突之冲突矿产的采购政策</v>
      </c>
    </row>
    <row r="52" spans="1:12" ht="38.450000000000003" customHeight="1">
      <c r="A52" s="106" t="s">
        <v>6</v>
      </c>
      <c r="B52" s="106" t="str">
        <f>Declaration!G71</f>
        <v>http://www.zettlercn.com/</v>
      </c>
      <c r="C52" s="106" t="str">
        <f ca="1">IF(H52=1,J52,I52)</f>
        <v>填写</v>
      </c>
      <c r="D52" s="112" t="str">
        <f>IF(H52=1,"Click here to specify URL for question (B)","")</f>
        <v/>
      </c>
      <c r="E52" s="88"/>
      <c r="F52" s="111">
        <f>IF(AND(F51=1,B51="Yes"),1,0)</f>
        <v>1</v>
      </c>
      <c r="G52" s="85">
        <f>IF(LEN(B52)&gt;1,0,1)</f>
        <v>0</v>
      </c>
      <c r="H52" s="86">
        <f t="shared" si="6"/>
        <v>0</v>
      </c>
      <c r="I52" s="189" t="str">
        <f ca="1">OFFSET(L!$C$1,MATCH("Checker"&amp;"Comp",L!$A:$A,0)-1,SL,,)</f>
        <v>填写</v>
      </c>
      <c r="J52" s="175" t="str">
        <f ca="1">OFFSET(L!$C$1,MATCH("Checker"&amp;ADDRESS(ROW(),COLUMN(),4),L!$A:$A,0)-1,SL,,)</f>
        <v xml:space="preserve">如果问题 B 的答案为“是”，则请在“申报”工作表 G71 单元格中输入 URL。URL 的格式应为“www.companyname.com” </v>
      </c>
    </row>
    <row r="53" spans="1:12" ht="39">
      <c r="A53" s="106" t="str">
        <f ca="1">Declaration!B73</f>
        <v>C. 您是否要求你的直接供应商不使用来自刚果民主共和国的涉及冲突之冲突矿产？ (*)</v>
      </c>
      <c r="B53" s="106" t="str">
        <f>Declaration!D73</f>
        <v>Yes</v>
      </c>
      <c r="C53" s="106" t="str">
        <f t="shared" ca="1" si="3"/>
        <v>填写</v>
      </c>
      <c r="D53" s="112" t="str">
        <f>IF(H53=1,"Click here to answer question (C)","")</f>
        <v/>
      </c>
      <c r="E53" s="88" t="s">
        <v>1452</v>
      </c>
      <c r="F53" s="111">
        <f t="shared" si="7"/>
        <v>1</v>
      </c>
      <c r="G53" s="85">
        <f t="shared" si="5"/>
        <v>0</v>
      </c>
      <c r="H53" s="86">
        <f t="shared" si="6"/>
        <v>0</v>
      </c>
      <c r="I53" s="189" t="str">
        <f ca="1">OFFSET(L!$C$1,MATCH("Checker"&amp;"Comp",L!$A:$A,0)-1,SL,,)</f>
        <v>填写</v>
      </c>
      <c r="J53" s="22" t="str">
        <f ca="1">OFFSET(L!$C$1,MATCH("Checker"&amp;ADDRESS(ROW(),COLUMN(),4),L!$A:$A,0)-1,SL,,)</f>
        <v>在“申报”选项卡 D73 单元格中，回答贵公司是否要求直接供应不使用来自刚果民主共和国的涉及冲突之冲突矿产</v>
      </c>
    </row>
    <row r="54" spans="1:12" ht="39">
      <c r="A54" s="106" t="str">
        <f ca="1">Declaration!B75</f>
        <v>D. 您是否要求您的直接供应商从其尽职调查实践已被被独立第三方审核机构验证过的冶炼厂采购 3TG？  (*)</v>
      </c>
      <c r="B54" s="106" t="str">
        <f>Declaration!D75</f>
        <v>Yes</v>
      </c>
      <c r="C54" s="106" t="str">
        <f ca="1">IF(H54=1,J54,I54)</f>
        <v>填写</v>
      </c>
      <c r="D54" s="112" t="str">
        <f>IF(H54=1,"Click here to answer question (D)","")</f>
        <v/>
      </c>
      <c r="E54" s="88" t="s">
        <v>1452</v>
      </c>
      <c r="F54" s="111">
        <f t="shared" si="7"/>
        <v>1</v>
      </c>
      <c r="G54" s="85">
        <f t="shared" si="5"/>
        <v>0</v>
      </c>
      <c r="H54" s="86">
        <f t="shared" si="6"/>
        <v>0</v>
      </c>
      <c r="I54" s="189" t="str">
        <f ca="1">OFFSET(L!$C$1,MATCH("Checker"&amp;"Comp",L!$A:$A,0)-1,SL,,)</f>
        <v>填写</v>
      </c>
      <c r="J54" s="22" t="str">
        <f ca="1">OFFSET(L!$C$1,MATCH("Checker"&amp;ADDRESS(ROW(),COLUMN(),4),L!$A:$A,0)-1,SL,,)</f>
        <v>在“申报”选项卡 D75 单元格中，回答贵公司是否要求直接供应商从使用负责任矿物审验流程合规冶炼厂列表验证为刚果民主共和国无冲突的冲突矿产</v>
      </c>
    </row>
    <row r="55" spans="1:12" ht="39">
      <c r="A55" s="106" t="str">
        <f ca="1">Declaration!B77</f>
        <v>E. 贵公司是否已实施无冲突矿产采购的尽职调查措施？ (*)</v>
      </c>
      <c r="B55" s="106" t="str">
        <f>Declaration!D77</f>
        <v>Yes</v>
      </c>
      <c r="C55" s="106" t="str">
        <f t="shared" ca="1" si="3"/>
        <v>填写</v>
      </c>
      <c r="D55" s="112" t="str">
        <f>IF(H55=1,"Click here to answer question (E)","")</f>
        <v/>
      </c>
      <c r="E55" s="88" t="s">
        <v>1452</v>
      </c>
      <c r="F55" s="111">
        <f t="shared" si="7"/>
        <v>1</v>
      </c>
      <c r="G55" s="85">
        <f t="shared" si="5"/>
        <v>0</v>
      </c>
      <c r="H55" s="86">
        <f t="shared" si="6"/>
        <v>0</v>
      </c>
      <c r="I55" s="189" t="str">
        <f ca="1">OFFSET(L!$C$1,MATCH("Checker"&amp;"Comp",L!$A:$A,0)-1,SL,,)</f>
        <v>填写</v>
      </c>
      <c r="J55" s="22" t="str">
        <f ca="1">OFFSET(L!$C$1,MATCH("Checker"&amp;ADDRESS(ROW(),COLUMN(),4),L!$A:$A,0)-1,SL,,)</f>
        <v>在“申报”选项卡 D77 单元格中，回答贵公司是否已实施无冲突矿产采购尽职调查措施</v>
      </c>
    </row>
    <row r="56" spans="1:12" ht="39">
      <c r="A56" s="106" t="str">
        <f ca="1">Declaration!B79</f>
        <v>F. 贵公司是否开展了相关供应商的冲突矿产调查？ (*)</v>
      </c>
      <c r="B56" s="106" t="str">
        <f>Declaration!D79</f>
        <v>Yes, in conformance with IPC1755 (e.g., CMRT)</v>
      </c>
      <c r="C56" s="106" t="str">
        <f t="shared" ca="1" si="3"/>
        <v>填写</v>
      </c>
      <c r="D56" s="112" t="str">
        <f>IF(H56=1,"Click here to answer question (F)","")</f>
        <v/>
      </c>
      <c r="E56" s="88" t="s">
        <v>1452</v>
      </c>
      <c r="F56" s="111">
        <f t="shared" si="7"/>
        <v>1</v>
      </c>
      <c r="G56" s="85">
        <f t="shared" si="5"/>
        <v>0</v>
      </c>
      <c r="H56" s="86">
        <f t="shared" si="6"/>
        <v>0</v>
      </c>
      <c r="I56" s="189" t="str">
        <f ca="1">OFFSET(L!$C$1,MATCH("Checker"&amp;"Comp",L!$A:$A,0)-1,SL,,)</f>
        <v>填写</v>
      </c>
      <c r="J56" s="22" t="str">
        <f ca="1">OFFSET(L!$C$1,MATCH("Checker"&amp;ADDRESS(ROW(),COLUMN(),4),L!$A:$A,0)-1,SL,,)</f>
        <v>在“申报”选项卡 D79 单元格中，回答贵公司是否要求供应商填写此“冲突矿产报告模板”</v>
      </c>
    </row>
    <row r="57" spans="1:12" ht="15" hidden="1">
      <c r="A57" s="106"/>
      <c r="B57" s="106"/>
      <c r="C57" s="106"/>
      <c r="D57" s="112"/>
      <c r="E57" s="88"/>
      <c r="F57" s="111"/>
      <c r="G57" s="85"/>
      <c r="H57" s="86"/>
      <c r="I57" s="189"/>
    </row>
    <row r="58" spans="1:12" ht="39">
      <c r="A58" s="106" t="str">
        <f ca="1">Declaration!B81</f>
        <v>G. 贵公司是否根据公司期望来审查供应商提交的尽职调查信息？ (*)</v>
      </c>
      <c r="B58" s="106" t="str">
        <f>Declaration!D81</f>
        <v>Yes</v>
      </c>
      <c r="C58" s="106" t="str">
        <f t="shared" ca="1" si="3"/>
        <v>填写</v>
      </c>
      <c r="D58" s="112" t="str">
        <f>IF(H58=1,"Click here to answer question (G)","")</f>
        <v/>
      </c>
      <c r="E58" s="88" t="s">
        <v>1452</v>
      </c>
      <c r="F58" s="111">
        <f t="shared" si="7"/>
        <v>1</v>
      </c>
      <c r="G58" s="85">
        <f t="shared" si="5"/>
        <v>0</v>
      </c>
      <c r="H58" s="86">
        <f t="shared" si="6"/>
        <v>0</v>
      </c>
      <c r="I58" s="189" t="str">
        <f ca="1">OFFSET(L!$C$1,MATCH("Checker"&amp;"Comp",L!$A:$A,0)-1,SL,,)</f>
        <v>填写</v>
      </c>
      <c r="J58" s="22" t="str">
        <f ca="1">OFFSET(L!$C$1,MATCH("Checker"&amp;ADDRESS(ROW(),COLUMN(),4),L!$A:$A,0)-1,SL,,)</f>
        <v>在“申报”选项卡 D83 单元格中，回答贵公司是否根据贵公司的期望来验证供应商的回答</v>
      </c>
    </row>
    <row r="59" spans="1:12" ht="39">
      <c r="A59" s="106" t="str">
        <f ca="1">Declaration!B83</f>
        <v>H. 贵公司的验证程序是否包括纠正措施管理？ (*)</v>
      </c>
      <c r="B59" s="106" t="str">
        <f>Declaration!D83</f>
        <v>Yes</v>
      </c>
      <c r="C59" s="106" t="str">
        <f t="shared" ca="1" si="3"/>
        <v>填写</v>
      </c>
      <c r="D59" s="112" t="str">
        <f>IF(H59=1,"Click here to answer question (H)","")</f>
        <v/>
      </c>
      <c r="E59" s="88" t="s">
        <v>1452</v>
      </c>
      <c r="F59" s="111">
        <f t="shared" si="7"/>
        <v>1</v>
      </c>
      <c r="G59" s="85">
        <f t="shared" si="5"/>
        <v>0</v>
      </c>
      <c r="H59" s="86">
        <f t="shared" si="6"/>
        <v>0</v>
      </c>
      <c r="I59" s="189" t="str">
        <f ca="1">OFFSET(L!$C$1,MATCH("Checker"&amp;"Comp",L!$A:$A,0)-1,SL,,)</f>
        <v>填写</v>
      </c>
      <c r="J59" s="22" t="str">
        <f ca="1">OFFSET(L!$C$1,MATCH("Checker"&amp;ADDRESS(ROW(),COLUMN(),4),L!$A:$A,0)-1,SL,,)</f>
        <v>在“申报”选项卡 D85 单元格中，回答贵公司的验证流程是否包括纠正措施管理</v>
      </c>
    </row>
    <row r="60" spans="1:12" ht="39">
      <c r="A60" s="106" t="str">
        <f ca="1">Declaration!B85</f>
        <v>I. 贵公司是否需要向 SEC 提交年度冲突矿产披露报告？ (*)</v>
      </c>
      <c r="B60" s="106" t="str">
        <f>Declaration!D85</f>
        <v>No</v>
      </c>
      <c r="C60" s="106" t="str">
        <f t="shared" ca="1" si="3"/>
        <v>填写</v>
      </c>
      <c r="D60" s="112" t="str">
        <f>IF(H60=1,"Click here to answer question (I)","")</f>
        <v/>
      </c>
      <c r="E60" s="88" t="s">
        <v>1452</v>
      </c>
      <c r="F60" s="111">
        <f t="shared" si="7"/>
        <v>1</v>
      </c>
      <c r="G60" s="85">
        <f t="shared" si="5"/>
        <v>0</v>
      </c>
      <c r="H60" s="86">
        <f t="shared" si="6"/>
        <v>0</v>
      </c>
      <c r="I60" s="189" t="str">
        <f ca="1">OFFSET(L!$C$1,MATCH("Checker"&amp;"Comp",L!$A:$A,0)-1,SL,,)</f>
        <v>填写</v>
      </c>
      <c r="J60" s="22" t="str">
        <f ca="1">OFFSET(L!$C$1,MATCH("Checker"&amp;ADDRESS(ROW(),COLUMN(),4),L!$A:$A,0)-1,SL,,)</f>
        <v>在“申报”选项卡 D87 单元格中，回答贵公司是否需要遵守 SEC 披露要求</v>
      </c>
    </row>
    <row r="61" spans="1:12" ht="39">
      <c r="A61" s="107" t="s">
        <v>1400</v>
      </c>
      <c r="B61" s="106" t="str">
        <f>IF(G61=1,"No products or item numbers listed","One or more product / item numbers have been provided")</f>
        <v>No products or item numbers listed</v>
      </c>
      <c r="C61" s="106" t="str">
        <f t="shared" ca="1" si="3"/>
        <v>填写</v>
      </c>
      <c r="D61" s="112" t="str">
        <f>IF(H61=1,"Click here to enter detail on Product List tab","")</f>
        <v/>
      </c>
      <c r="E61" s="88" t="s">
        <v>1452</v>
      </c>
      <c r="F61" s="111">
        <f>IF(B5=Declaration!Q9,1,0)</f>
        <v>0</v>
      </c>
      <c r="G61" s="85">
        <f>IF('Product List'!B6="",1,0)</f>
        <v>1</v>
      </c>
      <c r="H61" s="86">
        <f t="shared" si="6"/>
        <v>0</v>
      </c>
      <c r="I61" s="189" t="str">
        <f ca="1">OFFSET(L!$C$1,MATCH("Checker"&amp;"Comp",L!$A:$A,0)-1,SL,,)</f>
        <v>填写</v>
      </c>
      <c r="J61" s="22" t="str">
        <f ca="1">OFFSET(L!$C$1,MATCH("Checker"&amp;ADDRESS(ROW(),COLUMN(),4),L!$A:$A,0)-1,SL,,)</f>
        <v>如果合适，提供此申报所适用的一个或多个产品或项目编号。从“申报”选项卡 6H1 单元格中，选择超链接进入“产品列表”选项卡</v>
      </c>
    </row>
    <row r="62" spans="1:12" ht="39">
      <c r="A62" s="106" t="s">
        <v>2169</v>
      </c>
      <c r="B62" s="106"/>
      <c r="C62" s="106" t="str">
        <f ca="1">IF(K62=1,L62,IF(B15="No","Not Required",IF(G62=0,I62,J62)))</f>
        <v>填写</v>
      </c>
      <c r="D62" s="112" t="str">
        <f>IF(H62=0,"","Click here to provide smelter information")</f>
        <v/>
      </c>
      <c r="E62" s="88" t="s">
        <v>1452</v>
      </c>
      <c r="F62" s="111">
        <f>F25</f>
        <v>1</v>
      </c>
      <c r="G62" s="85">
        <f>IF(AND(COUNTIF(SmelterIdetifiedForMetal,"Tantalum")&gt;0,COUNTIF('Smelter List'!AB$5:AB$2493,"Tantalum?*")&gt;0),0,1)</f>
        <v>0</v>
      </c>
      <c r="H62" s="86">
        <f t="shared" si="6"/>
        <v>0</v>
      </c>
      <c r="I62" s="189" t="str">
        <f ca="1">OFFSET(L!$C$1,MATCH("Checker"&amp;"Comp",L!$A:$A,0)-1,SL,,)</f>
        <v>填写</v>
      </c>
      <c r="J62" s="22" t="str">
        <f ca="1">OFFSET(L!$C$1,MATCH("Checker"&amp;ADDRESS(ROW(),COLUMN(),4),L!$A:$A,0)-1,SL,,)</f>
        <v>在“冶炼厂目录”选项卡中，提供向供应链提供材料的钽冶炼厂列表</v>
      </c>
      <c r="K62" s="196">
        <f>IF(H15+H20&gt;0,1,0)</f>
        <v>0</v>
      </c>
      <c r="L62" s="22" t="str">
        <f ca="1">OFFSET(L!$C$1,MATCH("Checker"&amp;ADDRESS(ROW(),COLUMN(),4),L!$A:$A,0)-1,SL,,)</f>
        <v>请回答“申报”选项卡中的问题 1/问题 2</v>
      </c>
    </row>
    <row r="63" spans="1:12" ht="39">
      <c r="A63" s="106" t="s">
        <v>2170</v>
      </c>
      <c r="B63" s="106"/>
      <c r="C63" s="106" t="str">
        <f ca="1">IF(K63=1,L63,IF(B16="No","Not Required",IF(G63=0,I63,J63)))</f>
        <v>填写</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填写</v>
      </c>
      <c r="J63" s="22" t="str">
        <f ca="1">OFFSET(L!$C$1,MATCH("Checker"&amp;ADDRESS(ROW(),COLUMN(),4),L!$A:$A,0)-1,SL,,)</f>
        <v>在“冶炼厂目录”选项卡中，提供向供应链提供材料的锡冶炼厂列表</v>
      </c>
      <c r="K63" s="196">
        <f>IF(H16+H21&gt;0,1,0)</f>
        <v>0</v>
      </c>
      <c r="L63" s="22" t="str">
        <f ca="1">OFFSET(L!$C$1,MATCH("Checker"&amp;ADDRESS(ROW(),COLUMN(),4),L!$A:$A,0)-1,SL,,)</f>
        <v>请回答“申报”选项卡中的问题 1/问题 2</v>
      </c>
    </row>
    <row r="64" spans="1:12" ht="39">
      <c r="A64" s="106" t="s">
        <v>2171</v>
      </c>
      <c r="B64" s="106"/>
      <c r="C64" s="106" t="str">
        <f ca="1">IF(K64=1,L64,IF(B17="No","Not Required",IF(G64=0,I64,J64)))</f>
        <v>填写</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填写</v>
      </c>
      <c r="J64" s="22" t="str">
        <f ca="1">OFFSET(L!$C$1,MATCH("Checker"&amp;ADDRESS(ROW(),COLUMN(),4),L!$A:$A,0)-1,SL,,)</f>
        <v>在“冶炼厂目录”选项卡中，提供向供应链提供材料的金冶炼厂列表</v>
      </c>
      <c r="K64" s="196">
        <f>IF(H17+H22&gt;0,1,0)</f>
        <v>0</v>
      </c>
      <c r="L64" s="22" t="str">
        <f ca="1">OFFSET(L!$C$1,MATCH("Checker"&amp;ADDRESS(ROW(),COLUMN(),4),L!$A:$A,0)-1,SL,,)</f>
        <v>请回答“申报”选项卡中的问题 1/问题 2</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填写</v>
      </c>
      <c r="J65" s="22" t="str">
        <f ca="1">OFFSET(L!$C$1,MATCH("Checker"&amp;ADDRESS(ROW(),COLUMN(),4),L!$A:$A,0)-1,SL,,)</f>
        <v>在“冶炼厂目录”选项卡中，提供向供应链提供材料的钨冶炼厂列表</v>
      </c>
      <c r="K65" s="196">
        <f>IF(H18+H23&gt;0,1,0)</f>
        <v>0</v>
      </c>
      <c r="L65" s="22" t="str">
        <f ca="1">OFFSET(L!$C$1,MATCH("Checker"&amp;ADDRESS(ROW(),COLUMN(),4),L!$A:$A,0)-1,SL,,)</f>
        <v>请回答“申报”选项卡中的问题 1/问题 2</v>
      </c>
    </row>
    <row r="66" spans="1:12" ht="25.5">
      <c r="A66" s="210" t="s">
        <v>3046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填写</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tabSelected="1"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7" t="str">
        <f ca="1">OFFSET(L!$C$1,MATCH("Product List"&amp;ADDRESS(ROW(),COLUMN(),4),L!$A:$A,0)-1,SL,,)</f>
        <v xml:space="preserve">如果“申报”工作表上选择的报告层面为“产品（或产品列表）”，才需要填写此项。 </v>
      </c>
      <c r="B1" s="448"/>
      <c r="C1" s="448"/>
      <c r="D1" s="448"/>
      <c r="E1" s="150"/>
    </row>
    <row r="2" spans="1:6">
      <c r="A2" s="29"/>
      <c r="B2" s="152"/>
      <c r="C2" s="152"/>
      <c r="D2"/>
      <c r="E2" s="30"/>
    </row>
    <row r="3" spans="1:6">
      <c r="A3" s="29"/>
      <c r="B3" s="152"/>
      <c r="C3" s="152"/>
      <c r="D3" s="152"/>
      <c r="E3" s="30"/>
    </row>
    <row r="4" spans="1:6" ht="15.75" customHeight="1">
      <c r="A4" s="29"/>
      <c r="B4" s="446" t="s">
        <v>1026</v>
      </c>
      <c r="C4" s="446"/>
      <c r="D4" s="446"/>
      <c r="E4" s="30"/>
    </row>
    <row r="5" spans="1:6" ht="15.75">
      <c r="A5" s="165"/>
      <c r="B5" s="167" t="str">
        <f ca="1">OFFSET(L!$C$1,MATCH("Product List"&amp;ADDRESS(ROW(),COLUMN(),4),L!$A:$A,0)-1,SL,,)</f>
        <v>制造商的产品序号 (*)</v>
      </c>
      <c r="C5" s="167" t="str">
        <f ca="1">OFFSET(L!$C$1,MATCH("Product List"&amp;ADDRESS(ROW(),COLUMN(),4),L!$A:$A,0)-1,SL,,)</f>
        <v>制造商的产品名称</v>
      </c>
      <c r="D5" s="89">
        <f ca="1">OFFSET(L!$C$1,MATCH("Product List"&amp;ADDRESS(ROW(),COLUMN(),4),L!$A:$A,0)-1,SL,,)</f>
        <v>0</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9" t="str">
        <f ca="1">OFFSET(L!$C$1,MATCH("General"&amp;"Cpy",L!$A:$A,0)-1,SL,,)</f>
        <v>© 2018 Responsible Minerals Initiative。保留所有权利。</v>
      </c>
      <c r="C1001" s="449"/>
      <c r="D1001" s="449"/>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236"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50"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64" customFormat="1" ht="25.5">
      <c r="A4" s="263" t="str">
        <f ca="1">OFFSET(L!$C$1,MATCH("Smelter Look-up"&amp;ADDRESS(ROW(),COLUMN(),4),L!$A:$A,0)-1,SL,,)</f>
        <v>金属</v>
      </c>
      <c r="B4" s="263" t="str">
        <f ca="1">OFFSET(L!$C$1,MATCH("Smelter Look-up"&amp;ADDRESS(ROW(),COLUMN(),4),L!$A:$A,0)-1,SL,,)</f>
        <v>冶炼厂查找 (*)</v>
      </c>
      <c r="C4" s="263" t="str">
        <f ca="1">OFFSET(L!$C$1,MATCH("Smelter Look-up"&amp;ADDRESS(ROW(),COLUMN(),4),L!$A:$A,0)-1,SL,,)</f>
        <v>标准冶炼厂名称</v>
      </c>
      <c r="D4" s="263" t="str">
        <f ca="1">OFFSET(L!$C$1,MATCH("Smelter Look-up"&amp;ADDRESS(ROW(),COLUMN(),4),L!$A:$A,0)-1,SL,,)</f>
        <v>冶炼厂地址：国家或地区</v>
      </c>
      <c r="E4" s="263" t="str">
        <f ca="1">OFFSET(L!$C$1,MATCH("Smelter Look-up"&amp;ADDRESS(ROW(),COLUMN(),4),L!$A:$A,0)-1,SL,,)</f>
        <v>冶炼厂 ID</v>
      </c>
      <c r="F4" s="263" t="str">
        <f ca="1">OFFSET(L!$C$1,MATCH("Smelter Look-up"&amp;ADDRESS(ROW(),COLUMN(),4),L!$A:$A,0)-1,SL,,)</f>
        <v>冶炼厂出处识别号</v>
      </c>
      <c r="G4" s="263" t="str">
        <f ca="1">OFFSET(L!$C$1,MATCH("Smelter Look-up"&amp;ADDRESS(ROW(),COLUMN(),4),L!$A:$A,0)-1,SL,,)</f>
        <v>冶炼厂所在街道</v>
      </c>
      <c r="H4" s="263" t="str">
        <f ca="1">OFFSET(L!$C$1,MATCH("Smelter Look-up"&amp;ADDRESS(ROW(),COLUMN(),4),L!$A:$A,0)-1,SL,,)</f>
        <v>冶炼厂所在城市</v>
      </c>
      <c r="I4" s="263" t="str">
        <f ca="1">OFFSET(L!$C$1,MATCH("Smelter Look-up"&amp;ADDRESS(ROW(),COLUMN(),4),L!$A:$A,0)-1,SL,,)</f>
        <v>冶炼厂地址：州/省</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84.75">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299.2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28.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48.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16.7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48.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28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84.75">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3">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10">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05">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90">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75.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70.5">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20">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42.75">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28.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42">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71">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56.75">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27.75">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27.7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78.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42.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71">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42.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14">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28.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42">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56.75">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28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70.7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07">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199.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45">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0">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15.7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1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28.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28.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28.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42.75">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28.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42.75">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57">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42.75">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42.75">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42.75">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42.75">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42.75">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42.75">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42.75">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28.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85.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fangcuidan</cp:lastModifiedBy>
  <cp:lastPrinted>2015-04-21T20:47:43Z</cp:lastPrinted>
  <dcterms:created xsi:type="dcterms:W3CDTF">2010-06-21T21:00:23Z</dcterms:created>
  <dcterms:modified xsi:type="dcterms:W3CDTF">2018-12-12T00:56:08Z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